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amkempton/Desktop/"/>
    </mc:Choice>
  </mc:AlternateContent>
  <xr:revisionPtr revIDLastSave="0" documentId="8_{25F9F18B-8355-FE44-9658-7B1D7CBF8E96}" xr6:coauthVersionLast="47" xr6:coauthVersionMax="47" xr10:uidLastSave="{00000000-0000-0000-0000-000000000000}"/>
  <bookViews>
    <workbookView xWindow="11020" yWindow="5360" windowWidth="17080" windowHeight="20100" tabRatio="629" firstSheet="7" activeTab="11" xr2:uid="{25FE2FC1-8592-4E18-A8F1-DD2A13950F32}"/>
  </bookViews>
  <sheets>
    <sheet name="__FDSCACHE__" sheetId="3" state="veryHidden" r:id="rId1"/>
    <sheet name="Important Information" sheetId="2" r:id="rId2"/>
    <sheet name="Base Case" sheetId="9" r:id="rId3"/>
    <sheet name="Bull Case" sheetId="18" r:id="rId4"/>
    <sheet name="Bear Case" sheetId="19" r:id="rId5"/>
    <sheet name="Unum US Breakout - Base" sheetId="12" r:id="rId6"/>
    <sheet name="Unum US Breakout - Bull" sheetId="20" r:id="rId7"/>
    <sheet name="Unum US Breakout - Bear" sheetId="21" r:id="rId8"/>
    <sheet name="Quaterly Breakout" sheetId="17" r:id="rId9"/>
    <sheet name="PT Matrix" sheetId="11" r:id="rId10"/>
    <sheet name="Data Box" sheetId="13" r:id="rId11"/>
    <sheet name="How Do You Differ" sheetId="14" r:id="rId12"/>
    <sheet name="Comp Table" sheetId="15" r:id="rId13"/>
    <sheet name="Financial Forecasts" sheetId="16" r:id="rId14"/>
    <sheet name="GAAP-IFRS" sheetId="8" r:id="rId15"/>
    <sheet name="Broker Actual" sheetId="10" r:id="rId16"/>
  </sheets>
  <definedNames>
    <definedName name="ALLFINSTAT_RWIdentifier" localSheetId="2">'Base Case'!$A$1</definedName>
    <definedName name="ALLFINSTAT_RWIdentifier" localSheetId="4">'Bear Case'!$A$1</definedName>
    <definedName name="ALLFINSTAT_RWIdentifier" localSheetId="15">'Broker Actual'!$A$1</definedName>
    <definedName name="ALLFINSTAT_RWIdentifier" localSheetId="3">'Bull Case'!$A$1</definedName>
    <definedName name="ALLFINSTAT_RWIdentifier" localSheetId="14">'GAAP-IFRS'!$A$1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'Base Case'!$M$102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11016</definedName>
    <definedName name="solver_ver" localSheetId="2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8" i="9" l="1"/>
  <c r="P198" i="9"/>
  <c r="O198" i="9"/>
  <c r="N198" i="9"/>
  <c r="M198" i="9"/>
  <c r="N197" i="9"/>
  <c r="O197" i="9" s="1"/>
  <c r="P197" i="9" s="1"/>
  <c r="Q197" i="9" s="1"/>
  <c r="M197" i="9"/>
  <c r="M202" i="9"/>
  <c r="AO8" i="12"/>
  <c r="AP8" i="12"/>
  <c r="C11" i="11"/>
  <c r="N151" i="19"/>
  <c r="N159" i="19"/>
  <c r="J10" i="13"/>
  <c r="J9" i="13"/>
  <c r="O220" i="9"/>
  <c r="P220" i="9" s="1"/>
  <c r="Q220" i="9" s="1"/>
  <c r="N220" i="9"/>
  <c r="M220" i="9"/>
  <c r="L221" i="9"/>
  <c r="K221" i="9"/>
  <c r="J221" i="9"/>
  <c r="I221" i="9"/>
  <c r="H221" i="9"/>
  <c r="G221" i="9"/>
  <c r="F221" i="9"/>
  <c r="E221" i="9"/>
  <c r="D221" i="9"/>
  <c r="C221" i="9"/>
  <c r="E6" i="16"/>
  <c r="D6" i="16"/>
  <c r="C6" i="16"/>
  <c r="E4" i="16"/>
  <c r="D4" i="16"/>
  <c r="C4" i="16"/>
  <c r="E5" i="16"/>
  <c r="D5" i="16"/>
  <c r="C5" i="16"/>
  <c r="AP5" i="21"/>
  <c r="AP6" i="21" s="1"/>
  <c r="AO5" i="21"/>
  <c r="AA5" i="21"/>
  <c r="O16" i="19"/>
  <c r="N16" i="19"/>
  <c r="AB28" i="21"/>
  <c r="O14" i="19"/>
  <c r="AE45" i="21"/>
  <c r="AD45" i="21"/>
  <c r="AC45" i="21"/>
  <c r="AB45" i="21"/>
  <c r="O14" i="18"/>
  <c r="M57" i="18"/>
  <c r="M14" i="18"/>
  <c r="W64" i="21"/>
  <c r="W65" i="21" s="1"/>
  <c r="V64" i="21"/>
  <c r="V65" i="21" s="1"/>
  <c r="U64" i="21"/>
  <c r="U65" i="21" s="1"/>
  <c r="T64" i="21"/>
  <c r="T65" i="21" s="1"/>
  <c r="S64" i="21"/>
  <c r="S65" i="21" s="1"/>
  <c r="R64" i="21"/>
  <c r="R65" i="21" s="1"/>
  <c r="Q64" i="21"/>
  <c r="Q65" i="21" s="1"/>
  <c r="P64" i="21"/>
  <c r="P65" i="21" s="1"/>
  <c r="O64" i="21"/>
  <c r="O65" i="21" s="1"/>
  <c r="N64" i="21"/>
  <c r="N65" i="21" s="1"/>
  <c r="M64" i="21"/>
  <c r="M65" i="21" s="1"/>
  <c r="L64" i="21"/>
  <c r="L65" i="21" s="1"/>
  <c r="K64" i="21"/>
  <c r="K65" i="21" s="1"/>
  <c r="J64" i="21"/>
  <c r="J65" i="21" s="1"/>
  <c r="I64" i="21"/>
  <c r="I65" i="21" s="1"/>
  <c r="H64" i="21"/>
  <c r="H65" i="21" s="1"/>
  <c r="X63" i="21"/>
  <c r="Z61" i="21"/>
  <c r="Z64" i="21" s="1"/>
  <c r="Y61" i="21"/>
  <c r="Y64" i="21" s="1"/>
  <c r="X61" i="21"/>
  <c r="X64" i="21" s="1"/>
  <c r="X59" i="21"/>
  <c r="Y54" i="21"/>
  <c r="Y56" i="21" s="1"/>
  <c r="X54" i="21"/>
  <c r="X56" i="21" s="1"/>
  <c r="Z53" i="21"/>
  <c r="Z54" i="21" s="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Z46" i="21"/>
  <c r="Y46" i="21"/>
  <c r="X46" i="21"/>
  <c r="AA45" i="21"/>
  <c r="Z44" i="21"/>
  <c r="Z47" i="21" s="1"/>
  <c r="Y44" i="21"/>
  <c r="Y47" i="21" s="1"/>
  <c r="X44" i="21"/>
  <c r="X47" i="21" s="1"/>
  <c r="X42" i="21"/>
  <c r="Y37" i="21"/>
  <c r="Y39" i="21" s="1"/>
  <c r="X37" i="21"/>
  <c r="X39" i="21" s="1"/>
  <c r="Z36" i="21"/>
  <c r="Z37" i="21" s="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Z30" i="21"/>
  <c r="N30" i="21"/>
  <c r="M30" i="21"/>
  <c r="L30" i="21"/>
  <c r="K30" i="21"/>
  <c r="AC28" i="21"/>
  <c r="AD28" i="21" s="1"/>
  <c r="AE28" i="21" s="1"/>
  <c r="Z27" i="21"/>
  <c r="Y27" i="21"/>
  <c r="Y11" i="21" s="1"/>
  <c r="X27" i="21"/>
  <c r="X30" i="21" s="1"/>
  <c r="O27" i="21"/>
  <c r="O28" i="21" s="1"/>
  <c r="X25" i="21"/>
  <c r="O24" i="21"/>
  <c r="Z20" i="21"/>
  <c r="Z22" i="21" s="1"/>
  <c r="Y20" i="21"/>
  <c r="Y22" i="21" s="1"/>
  <c r="X20" i="21"/>
  <c r="X22" i="21" s="1"/>
  <c r="Z19" i="21"/>
  <c r="Y19" i="21"/>
  <c r="X19" i="21"/>
  <c r="W19" i="21"/>
  <c r="V19" i="21"/>
  <c r="U19" i="21"/>
  <c r="T19" i="21"/>
  <c r="S19" i="21"/>
  <c r="R19" i="21"/>
  <c r="Q19" i="21"/>
  <c r="P19" i="21"/>
  <c r="N19" i="21"/>
  <c r="M19" i="21"/>
  <c r="L19" i="21"/>
  <c r="K19" i="21"/>
  <c r="J19" i="21"/>
  <c r="I19" i="21"/>
  <c r="H19" i="21"/>
  <c r="Z18" i="21"/>
  <c r="Y18" i="21"/>
  <c r="X18" i="21"/>
  <c r="W18" i="21"/>
  <c r="V18" i="21"/>
  <c r="U18" i="21"/>
  <c r="T18" i="21"/>
  <c r="S18" i="21"/>
  <c r="R18" i="21"/>
  <c r="Q18" i="21"/>
  <c r="N18" i="21"/>
  <c r="M18" i="21"/>
  <c r="L18" i="21"/>
  <c r="K18" i="21"/>
  <c r="J18" i="21"/>
  <c r="I18" i="21"/>
  <c r="O17" i="21"/>
  <c r="O30" i="21" s="1"/>
  <c r="AM15" i="21"/>
  <c r="AN14" i="21"/>
  <c r="AN15" i="21" s="1"/>
  <c r="AM14" i="21"/>
  <c r="AL14" i="21"/>
  <c r="AL15" i="21" s="1"/>
  <c r="AK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AL13" i="21"/>
  <c r="AN12" i="21"/>
  <c r="AN11" i="21"/>
  <c r="AN13" i="21" s="1"/>
  <c r="AM11" i="21"/>
  <c r="AM13" i="21" s="1"/>
  <c r="AL11" i="21"/>
  <c r="AK11" i="21"/>
  <c r="Z11" i="21"/>
  <c r="Z13" i="21" s="1"/>
  <c r="Z14" i="21" s="1"/>
  <c r="X11" i="21"/>
  <c r="AN10" i="21"/>
  <c r="AM10" i="21"/>
  <c r="AM12" i="21" s="1"/>
  <c r="AL10" i="21"/>
  <c r="AK10" i="21"/>
  <c r="AK12" i="21" s="1"/>
  <c r="Z10" i="21"/>
  <c r="Z12" i="21" s="1"/>
  <c r="Y10" i="21"/>
  <c r="Y13" i="21" s="1"/>
  <c r="X10" i="21"/>
  <c r="Z9" i="21"/>
  <c r="Z8" i="21"/>
  <c r="Y8" i="21"/>
  <c r="Y9" i="21" s="1"/>
  <c r="X8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AN5" i="21"/>
  <c r="AN6" i="21" s="1"/>
  <c r="AM5" i="21"/>
  <c r="AM6" i="21" s="1"/>
  <c r="AL5" i="21"/>
  <c r="AL12" i="21" s="1"/>
  <c r="AK5" i="21"/>
  <c r="AK13" i="21" s="1"/>
  <c r="W64" i="20"/>
  <c r="W65" i="20" s="1"/>
  <c r="V64" i="20"/>
  <c r="V65" i="20" s="1"/>
  <c r="U64" i="20"/>
  <c r="U65" i="20" s="1"/>
  <c r="T64" i="20"/>
  <c r="T65" i="20" s="1"/>
  <c r="S64" i="20"/>
  <c r="S65" i="20" s="1"/>
  <c r="R64" i="20"/>
  <c r="R65" i="20" s="1"/>
  <c r="Q64" i="20"/>
  <c r="Q65" i="20" s="1"/>
  <c r="P64" i="20"/>
  <c r="P65" i="20" s="1"/>
  <c r="O64" i="20"/>
  <c r="O65" i="20" s="1"/>
  <c r="N64" i="20"/>
  <c r="N65" i="20" s="1"/>
  <c r="M64" i="20"/>
  <c r="M65" i="20" s="1"/>
  <c r="L64" i="20"/>
  <c r="L65" i="20" s="1"/>
  <c r="K64" i="20"/>
  <c r="K65" i="20" s="1"/>
  <c r="J64" i="20"/>
  <c r="J65" i="20" s="1"/>
  <c r="I64" i="20"/>
  <c r="I65" i="20" s="1"/>
  <c r="H64" i="20"/>
  <c r="H65" i="20" s="1"/>
  <c r="X63" i="20"/>
  <c r="Z61" i="20"/>
  <c r="Z64" i="20" s="1"/>
  <c r="Y61" i="20"/>
  <c r="Y64" i="20" s="1"/>
  <c r="X61" i="20"/>
  <c r="X64" i="20" s="1"/>
  <c r="Z54" i="20"/>
  <c r="Z56" i="20" s="1"/>
  <c r="Y54" i="20"/>
  <c r="Y56" i="20" s="1"/>
  <c r="Z53" i="20"/>
  <c r="Y53" i="20"/>
  <c r="X53" i="20"/>
  <c r="X54" i="20" s="1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Z46" i="20"/>
  <c r="Y46" i="20"/>
  <c r="X46" i="20"/>
  <c r="AA45" i="20"/>
  <c r="Z44" i="20"/>
  <c r="Z47" i="20" s="1"/>
  <c r="Y44" i="20"/>
  <c r="Y47" i="20" s="1"/>
  <c r="X44" i="20"/>
  <c r="X47" i="20" s="1"/>
  <c r="Z37" i="20"/>
  <c r="Z39" i="20" s="1"/>
  <c r="Y37" i="20"/>
  <c r="Y39" i="20" s="1"/>
  <c r="Z36" i="20"/>
  <c r="Y36" i="20"/>
  <c r="X36" i="20"/>
  <c r="X37" i="20" s="1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N30" i="20"/>
  <c r="M30" i="20"/>
  <c r="L30" i="20"/>
  <c r="K30" i="20"/>
  <c r="AC28" i="20"/>
  <c r="AD28" i="20" s="1"/>
  <c r="AE28" i="20" s="1"/>
  <c r="Z27" i="20"/>
  <c r="Z30" i="20" s="1"/>
  <c r="Y27" i="20"/>
  <c r="Y11" i="20" s="1"/>
  <c r="X27" i="20"/>
  <c r="X30" i="20" s="1"/>
  <c r="O27" i="20"/>
  <c r="O28" i="20" s="1"/>
  <c r="O24" i="20"/>
  <c r="Z20" i="20"/>
  <c r="Z22" i="20" s="1"/>
  <c r="Z19" i="20"/>
  <c r="Y19" i="20"/>
  <c r="Y20" i="20" s="1"/>
  <c r="X19" i="20"/>
  <c r="X20" i="20" s="1"/>
  <c r="W19" i="20"/>
  <c r="V19" i="20"/>
  <c r="U19" i="20"/>
  <c r="T19" i="20"/>
  <c r="S19" i="20"/>
  <c r="R19" i="20"/>
  <c r="Q19" i="20"/>
  <c r="P19" i="20"/>
  <c r="N19" i="20"/>
  <c r="M19" i="20"/>
  <c r="L19" i="20"/>
  <c r="K19" i="20"/>
  <c r="J19" i="20"/>
  <c r="I19" i="20"/>
  <c r="H19" i="20"/>
  <c r="Z18" i="20"/>
  <c r="Y18" i="20"/>
  <c r="X18" i="20"/>
  <c r="W18" i="20"/>
  <c r="V18" i="20"/>
  <c r="U18" i="20"/>
  <c r="T18" i="20"/>
  <c r="S18" i="20"/>
  <c r="R18" i="20"/>
  <c r="Q18" i="20"/>
  <c r="P18" i="20"/>
  <c r="N18" i="20"/>
  <c r="M18" i="20"/>
  <c r="L18" i="20"/>
  <c r="K18" i="20"/>
  <c r="J18" i="20"/>
  <c r="I18" i="20"/>
  <c r="O17" i="20"/>
  <c r="O30" i="20" s="1"/>
  <c r="AN15" i="20"/>
  <c r="AM15" i="20"/>
  <c r="AN14" i="20"/>
  <c r="AM14" i="20"/>
  <c r="AL14" i="20"/>
  <c r="AL15" i="20" s="1"/>
  <c r="AK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AM13" i="20"/>
  <c r="AL13" i="20"/>
  <c r="AN12" i="20"/>
  <c r="X12" i="20"/>
  <c r="AN11" i="20"/>
  <c r="AN13" i="20" s="1"/>
  <c r="AM11" i="20"/>
  <c r="AL11" i="20"/>
  <c r="AK11" i="20"/>
  <c r="AK13" i="20" s="1"/>
  <c r="Z11" i="20"/>
  <c r="X11" i="20"/>
  <c r="AN10" i="20"/>
  <c r="AM10" i="20"/>
  <c r="AM12" i="20" s="1"/>
  <c r="AL10" i="20"/>
  <c r="AL12" i="20" s="1"/>
  <c r="AK10" i="20"/>
  <c r="AK12" i="20" s="1"/>
  <c r="Z10" i="20"/>
  <c r="Z13" i="20" s="1"/>
  <c r="Z14" i="20" s="1"/>
  <c r="Y10" i="20"/>
  <c r="Y13" i="20" s="1"/>
  <c r="X10" i="20"/>
  <c r="Z8" i="20"/>
  <c r="Z9" i="20" s="1"/>
  <c r="Y8" i="20"/>
  <c r="Y9" i="20" s="1"/>
  <c r="X8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AN5" i="20"/>
  <c r="AN6" i="20" s="1"/>
  <c r="AM5" i="20"/>
  <c r="AM6" i="20" s="1"/>
  <c r="AL5" i="20"/>
  <c r="AL6" i="20" s="1"/>
  <c r="AK5" i="20"/>
  <c r="C348" i="19"/>
  <c r="P328" i="19"/>
  <c r="O328" i="19"/>
  <c r="C319" i="19"/>
  <c r="M332" i="19" s="1"/>
  <c r="M352" i="19" s="1"/>
  <c r="B319" i="19"/>
  <c r="C314" i="19"/>
  <c r="B313" i="19"/>
  <c r="B314" i="19" s="1"/>
  <c r="C311" i="19"/>
  <c r="B311" i="19"/>
  <c r="Q288" i="19"/>
  <c r="P288" i="19"/>
  <c r="O288" i="19"/>
  <c r="N288" i="19"/>
  <c r="M288" i="19"/>
  <c r="Q271" i="19"/>
  <c r="O271" i="19"/>
  <c r="N264" i="19"/>
  <c r="M264" i="19"/>
  <c r="M263" i="19"/>
  <c r="M262" i="19"/>
  <c r="M261" i="19"/>
  <c r="C258" i="19"/>
  <c r="B257" i="19"/>
  <c r="L212" i="19"/>
  <c r="K212" i="19"/>
  <c r="J212" i="19"/>
  <c r="I212" i="19"/>
  <c r="H212" i="19"/>
  <c r="G212" i="19"/>
  <c r="F212" i="19"/>
  <c r="E212" i="19"/>
  <c r="D212" i="19"/>
  <c r="C212" i="19"/>
  <c r="B207" i="19"/>
  <c r="M200" i="19"/>
  <c r="P195" i="19"/>
  <c r="Q195" i="19" s="1"/>
  <c r="O195" i="19"/>
  <c r="N195" i="19"/>
  <c r="M194" i="19"/>
  <c r="L192" i="19"/>
  <c r="K192" i="19"/>
  <c r="J192" i="19"/>
  <c r="I192" i="19"/>
  <c r="H192" i="19"/>
  <c r="G192" i="19"/>
  <c r="F192" i="19"/>
  <c r="E192" i="19"/>
  <c r="D192" i="19"/>
  <c r="C192" i="19"/>
  <c r="M190" i="19"/>
  <c r="P188" i="19"/>
  <c r="Q188" i="19" s="1"/>
  <c r="O188" i="19"/>
  <c r="L188" i="19"/>
  <c r="K188" i="19"/>
  <c r="J188" i="19"/>
  <c r="I188" i="19"/>
  <c r="H188" i="19"/>
  <c r="G188" i="19"/>
  <c r="F188" i="19"/>
  <c r="E188" i="19"/>
  <c r="D188" i="19"/>
  <c r="C188" i="19"/>
  <c r="L185" i="19"/>
  <c r="K185" i="19"/>
  <c r="J185" i="19"/>
  <c r="I185" i="19"/>
  <c r="H185" i="19"/>
  <c r="G185" i="19"/>
  <c r="F185" i="19"/>
  <c r="E185" i="19"/>
  <c r="D185" i="19"/>
  <c r="C185" i="19"/>
  <c r="Q170" i="19"/>
  <c r="P170" i="19"/>
  <c r="O170" i="19"/>
  <c r="N170" i="19"/>
  <c r="M170" i="19"/>
  <c r="L170" i="19"/>
  <c r="K170" i="19"/>
  <c r="J170" i="19"/>
  <c r="I170" i="19"/>
  <c r="H170" i="19"/>
  <c r="G170" i="19"/>
  <c r="F170" i="19"/>
  <c r="E170" i="19"/>
  <c r="D170" i="19"/>
  <c r="L165" i="19"/>
  <c r="K165" i="19"/>
  <c r="J165" i="19"/>
  <c r="I165" i="19"/>
  <c r="H165" i="19"/>
  <c r="M165" i="19" s="1"/>
  <c r="G165" i="19"/>
  <c r="F165" i="19"/>
  <c r="E165" i="19"/>
  <c r="D165" i="19"/>
  <c r="C165" i="19"/>
  <c r="O162" i="19"/>
  <c r="L162" i="19"/>
  <c r="K162" i="19"/>
  <c r="J162" i="19"/>
  <c r="I162" i="19"/>
  <c r="M162" i="19" s="1"/>
  <c r="H162" i="19"/>
  <c r="G162" i="19"/>
  <c r="F162" i="19"/>
  <c r="E162" i="19"/>
  <c r="D162" i="19"/>
  <c r="C162" i="19"/>
  <c r="L159" i="19"/>
  <c r="K159" i="19"/>
  <c r="J159" i="19"/>
  <c r="I159" i="19"/>
  <c r="H159" i="19"/>
  <c r="G159" i="19"/>
  <c r="F159" i="19"/>
  <c r="E159" i="19"/>
  <c r="D159" i="19"/>
  <c r="C159" i="19"/>
  <c r="L156" i="19"/>
  <c r="K156" i="19"/>
  <c r="J156" i="19"/>
  <c r="I156" i="19"/>
  <c r="H156" i="19"/>
  <c r="G156" i="19"/>
  <c r="F156" i="19"/>
  <c r="E156" i="19"/>
  <c r="D156" i="19"/>
  <c r="C156" i="19"/>
  <c r="N153" i="19"/>
  <c r="O153" i="19" s="1"/>
  <c r="P153" i="19" s="1"/>
  <c r="Q153" i="19" s="1"/>
  <c r="L152" i="19"/>
  <c r="K152" i="19"/>
  <c r="J152" i="19"/>
  <c r="I152" i="19"/>
  <c r="H152" i="19"/>
  <c r="G152" i="19"/>
  <c r="F152" i="19"/>
  <c r="E152" i="19"/>
  <c r="D152" i="19"/>
  <c r="Q123" i="19"/>
  <c r="P123" i="19"/>
  <c r="O123" i="19"/>
  <c r="N123" i="19"/>
  <c r="O103" i="19"/>
  <c r="P103" i="19" s="1"/>
  <c r="Q103" i="19" s="1"/>
  <c r="N103" i="19"/>
  <c r="Q101" i="19"/>
  <c r="Q328" i="19" s="1"/>
  <c r="O99" i="19"/>
  <c r="P99" i="19" s="1"/>
  <c r="Q99" i="19" s="1"/>
  <c r="N99" i="19"/>
  <c r="A92" i="19"/>
  <c r="A89" i="19" s="1"/>
  <c r="L87" i="19"/>
  <c r="K87" i="19"/>
  <c r="J87" i="19"/>
  <c r="I87" i="19"/>
  <c r="H87" i="19"/>
  <c r="G87" i="19"/>
  <c r="F87" i="19"/>
  <c r="E87" i="19"/>
  <c r="D87" i="19"/>
  <c r="C87" i="19"/>
  <c r="B87" i="19"/>
  <c r="G80" i="19"/>
  <c r="E80" i="19"/>
  <c r="L79" i="19"/>
  <c r="K79" i="19"/>
  <c r="J79" i="19"/>
  <c r="J80" i="19" s="1"/>
  <c r="I79" i="19"/>
  <c r="H79" i="19"/>
  <c r="G79" i="19"/>
  <c r="F79" i="19"/>
  <c r="E79" i="19"/>
  <c r="D79" i="19"/>
  <c r="D80" i="19" s="1"/>
  <c r="L78" i="19"/>
  <c r="L80" i="19" s="1"/>
  <c r="K78" i="19"/>
  <c r="K80" i="19" s="1"/>
  <c r="J78" i="19"/>
  <c r="I78" i="19"/>
  <c r="I80" i="19" s="1"/>
  <c r="H78" i="19"/>
  <c r="H80" i="19" s="1"/>
  <c r="G78" i="19"/>
  <c r="F78" i="19"/>
  <c r="F80" i="19" s="1"/>
  <c r="E78" i="19"/>
  <c r="D78" i="19"/>
  <c r="L76" i="19"/>
  <c r="K76" i="19"/>
  <c r="J76" i="19"/>
  <c r="I76" i="19"/>
  <c r="H76" i="19"/>
  <c r="G76" i="19"/>
  <c r="F76" i="19"/>
  <c r="E76" i="19"/>
  <c r="D76" i="19"/>
  <c r="C76" i="19"/>
  <c r="P75" i="19"/>
  <c r="O75" i="19"/>
  <c r="I75" i="19"/>
  <c r="B74" i="19"/>
  <c r="Q72" i="19"/>
  <c r="N72" i="19"/>
  <c r="O72" i="19" s="1"/>
  <c r="L72" i="19"/>
  <c r="K72" i="19"/>
  <c r="J72" i="19"/>
  <c r="I72" i="19"/>
  <c r="H72" i="19"/>
  <c r="G72" i="19"/>
  <c r="F72" i="19"/>
  <c r="E72" i="19"/>
  <c r="D72" i="19"/>
  <c r="C72" i="19"/>
  <c r="L69" i="19"/>
  <c r="K69" i="19"/>
  <c r="J69" i="19"/>
  <c r="I69" i="19"/>
  <c r="H69" i="19"/>
  <c r="G69" i="19"/>
  <c r="F69" i="19"/>
  <c r="E69" i="19"/>
  <c r="D69" i="19"/>
  <c r="C69" i="19"/>
  <c r="B68" i="19"/>
  <c r="Q64" i="19"/>
  <c r="P64" i="19"/>
  <c r="O64" i="19"/>
  <c r="N64" i="19"/>
  <c r="E64" i="19"/>
  <c r="L63" i="19"/>
  <c r="M64" i="19" s="1"/>
  <c r="K63" i="19"/>
  <c r="K64" i="19" s="1"/>
  <c r="J63" i="19"/>
  <c r="J64" i="19" s="1"/>
  <c r="I63" i="19"/>
  <c r="H63" i="19"/>
  <c r="I64" i="19" s="1"/>
  <c r="G63" i="19"/>
  <c r="F63" i="19"/>
  <c r="G64" i="19" s="1"/>
  <c r="E63" i="19"/>
  <c r="D63" i="19"/>
  <c r="D64" i="19" s="1"/>
  <c r="C63" i="19"/>
  <c r="B62" i="19"/>
  <c r="O60" i="19"/>
  <c r="P60" i="19" s="1"/>
  <c r="Q60" i="19" s="1"/>
  <c r="L58" i="19"/>
  <c r="L60" i="19" s="1"/>
  <c r="K58" i="19"/>
  <c r="L59" i="19" s="1"/>
  <c r="L55" i="19"/>
  <c r="L56" i="19" s="1"/>
  <c r="K55" i="19"/>
  <c r="J55" i="19"/>
  <c r="J58" i="19" s="1"/>
  <c r="I55" i="19"/>
  <c r="I58" i="19" s="1"/>
  <c r="I60" i="19" s="1"/>
  <c r="L54" i="19"/>
  <c r="K54" i="19"/>
  <c r="J54" i="19"/>
  <c r="I54" i="19"/>
  <c r="H54" i="19"/>
  <c r="G54" i="19"/>
  <c r="F54" i="19"/>
  <c r="E54" i="19"/>
  <c r="D54" i="19"/>
  <c r="J38" i="19"/>
  <c r="I38" i="19"/>
  <c r="F38" i="19"/>
  <c r="D38" i="19"/>
  <c r="L37" i="19"/>
  <c r="L75" i="19" s="1"/>
  <c r="K37" i="19"/>
  <c r="J37" i="19"/>
  <c r="J65" i="19" s="1"/>
  <c r="I37" i="19"/>
  <c r="I65" i="19" s="1"/>
  <c r="H37" i="19"/>
  <c r="H38" i="19" s="1"/>
  <c r="G37" i="19"/>
  <c r="G65" i="19" s="1"/>
  <c r="F37" i="19"/>
  <c r="G38" i="19" s="1"/>
  <c r="E37" i="19"/>
  <c r="E38" i="19" s="1"/>
  <c r="D37" i="19"/>
  <c r="D65" i="19" s="1"/>
  <c r="C37" i="19"/>
  <c r="C65" i="19" s="1"/>
  <c r="B37" i="19"/>
  <c r="B208" i="19" s="1"/>
  <c r="K31" i="19"/>
  <c r="J31" i="19"/>
  <c r="G31" i="19"/>
  <c r="E31" i="19"/>
  <c r="L30" i="19"/>
  <c r="K30" i="19"/>
  <c r="J30" i="19"/>
  <c r="I30" i="19"/>
  <c r="I31" i="19" s="1"/>
  <c r="H30" i="19"/>
  <c r="G30" i="19"/>
  <c r="H31" i="19" s="1"/>
  <c r="F30" i="19"/>
  <c r="F31" i="19" s="1"/>
  <c r="E30" i="19"/>
  <c r="D30" i="19"/>
  <c r="D31" i="19" s="1"/>
  <c r="C30" i="19"/>
  <c r="L29" i="19"/>
  <c r="K29" i="19"/>
  <c r="J29" i="19"/>
  <c r="I29" i="19"/>
  <c r="H29" i="19"/>
  <c r="G29" i="19"/>
  <c r="F29" i="19"/>
  <c r="E29" i="19"/>
  <c r="D29" i="19"/>
  <c r="O25" i="19"/>
  <c r="E25" i="19"/>
  <c r="P24" i="19"/>
  <c r="P25" i="19" s="1"/>
  <c r="L24" i="19"/>
  <c r="M24" i="19" s="1"/>
  <c r="K24" i="19"/>
  <c r="K25" i="19" s="1"/>
  <c r="J24" i="19"/>
  <c r="J25" i="19" s="1"/>
  <c r="I24" i="19"/>
  <c r="I25" i="19" s="1"/>
  <c r="H24" i="19"/>
  <c r="H25" i="19" s="1"/>
  <c r="G24" i="19"/>
  <c r="G25" i="19" s="1"/>
  <c r="F24" i="19"/>
  <c r="F25" i="19" s="1"/>
  <c r="E24" i="19"/>
  <c r="D24" i="19"/>
  <c r="D25" i="19" s="1"/>
  <c r="C24" i="19"/>
  <c r="L23" i="19"/>
  <c r="K23" i="19"/>
  <c r="J23" i="19"/>
  <c r="I23" i="19"/>
  <c r="H23" i="19"/>
  <c r="G23" i="19"/>
  <c r="F23" i="19"/>
  <c r="E23" i="19"/>
  <c r="D23" i="19"/>
  <c r="L20" i="19"/>
  <c r="K20" i="19"/>
  <c r="J20" i="19"/>
  <c r="I20" i="19"/>
  <c r="H20" i="19"/>
  <c r="G20" i="19"/>
  <c r="F20" i="19"/>
  <c r="E20" i="19"/>
  <c r="D20" i="19"/>
  <c r="M19" i="19"/>
  <c r="N19" i="19" s="1"/>
  <c r="O19" i="19" s="1"/>
  <c r="P19" i="19" s="1"/>
  <c r="Q19" i="19" s="1"/>
  <c r="L18" i="19"/>
  <c r="K18" i="19"/>
  <c r="J18" i="19"/>
  <c r="I18" i="19"/>
  <c r="H18" i="19"/>
  <c r="G18" i="19"/>
  <c r="F18" i="19"/>
  <c r="E18" i="19"/>
  <c r="D18" i="19"/>
  <c r="M17" i="19"/>
  <c r="N17" i="19" s="1"/>
  <c r="O17" i="19" s="1"/>
  <c r="P17" i="19" s="1"/>
  <c r="Q17" i="19" s="1"/>
  <c r="L16" i="19"/>
  <c r="K16" i="19"/>
  <c r="J16" i="19"/>
  <c r="I16" i="19"/>
  <c r="H16" i="19"/>
  <c r="G16" i="19"/>
  <c r="F16" i="19"/>
  <c r="E16" i="19"/>
  <c r="D16" i="19"/>
  <c r="M15" i="19"/>
  <c r="N15" i="19" s="1"/>
  <c r="L14" i="19"/>
  <c r="K14" i="19"/>
  <c r="J14" i="19"/>
  <c r="I14" i="19"/>
  <c r="H14" i="19"/>
  <c r="G14" i="19"/>
  <c r="F14" i="19"/>
  <c r="E14" i="19"/>
  <c r="D14" i="19"/>
  <c r="L12" i="19"/>
  <c r="K12" i="19"/>
  <c r="J12" i="19"/>
  <c r="I12" i="19"/>
  <c r="H12" i="19"/>
  <c r="G12" i="19"/>
  <c r="F12" i="19"/>
  <c r="E12" i="19"/>
  <c r="D12" i="19"/>
  <c r="L4" i="19"/>
  <c r="D2" i="19"/>
  <c r="C2" i="19"/>
  <c r="B2" i="19"/>
  <c r="A49" i="19" s="1"/>
  <c r="A46" i="19" s="1"/>
  <c r="C348" i="18"/>
  <c r="Q328" i="18"/>
  <c r="P328" i="18"/>
  <c r="O328" i="18"/>
  <c r="C319" i="18"/>
  <c r="M332" i="18" s="1"/>
  <c r="M352" i="18" s="1"/>
  <c r="B319" i="18"/>
  <c r="C314" i="18"/>
  <c r="B313" i="18"/>
  <c r="B314" i="18" s="1"/>
  <c r="C311" i="18"/>
  <c r="B311" i="18"/>
  <c r="Q288" i="18"/>
  <c r="P288" i="18"/>
  <c r="O288" i="18"/>
  <c r="N288" i="18"/>
  <c r="M288" i="18"/>
  <c r="Q271" i="18"/>
  <c r="O271" i="18"/>
  <c r="M264" i="18"/>
  <c r="M263" i="18"/>
  <c r="M262" i="18"/>
  <c r="M261" i="18"/>
  <c r="C258" i="18"/>
  <c r="B257" i="18"/>
  <c r="L212" i="18"/>
  <c r="K212" i="18"/>
  <c r="J212" i="18"/>
  <c r="I212" i="18"/>
  <c r="H212" i="18"/>
  <c r="G212" i="18"/>
  <c r="F212" i="18"/>
  <c r="E212" i="18"/>
  <c r="D212" i="18"/>
  <c r="C212" i="18"/>
  <c r="B207" i="18"/>
  <c r="M200" i="18"/>
  <c r="P195" i="18"/>
  <c r="Q195" i="18" s="1"/>
  <c r="O195" i="18"/>
  <c r="N195" i="18"/>
  <c r="M194" i="18"/>
  <c r="L192" i="18"/>
  <c r="K192" i="18"/>
  <c r="J192" i="18"/>
  <c r="I192" i="18"/>
  <c r="H192" i="18"/>
  <c r="G192" i="18"/>
  <c r="F192" i="18"/>
  <c r="E192" i="18"/>
  <c r="D192" i="18"/>
  <c r="C192" i="18"/>
  <c r="Q190" i="18"/>
  <c r="P190" i="18"/>
  <c r="M190" i="18"/>
  <c r="N190" i="18" s="1"/>
  <c r="O190" i="18" s="1"/>
  <c r="P188" i="18"/>
  <c r="Q188" i="18" s="1"/>
  <c r="O188" i="18"/>
  <c r="L188" i="18"/>
  <c r="K188" i="18"/>
  <c r="J188" i="18"/>
  <c r="I188" i="18"/>
  <c r="H188" i="18"/>
  <c r="G188" i="18"/>
  <c r="F188" i="18"/>
  <c r="E188" i="18"/>
  <c r="D188" i="18"/>
  <c r="C188" i="18"/>
  <c r="L185" i="18"/>
  <c r="K185" i="18"/>
  <c r="J185" i="18"/>
  <c r="I185" i="18"/>
  <c r="H185" i="18"/>
  <c r="G185" i="18"/>
  <c r="F185" i="18"/>
  <c r="E185" i="18"/>
  <c r="D185" i="18"/>
  <c r="C185" i="18"/>
  <c r="Q170" i="18"/>
  <c r="P170" i="18"/>
  <c r="O170" i="18"/>
  <c r="N170" i="18"/>
  <c r="M170" i="18"/>
  <c r="L170" i="18"/>
  <c r="K170" i="18"/>
  <c r="J170" i="18"/>
  <c r="I170" i="18"/>
  <c r="H170" i="18"/>
  <c r="G170" i="18"/>
  <c r="F170" i="18"/>
  <c r="E170" i="18"/>
  <c r="D170" i="18"/>
  <c r="M165" i="18"/>
  <c r="L165" i="18"/>
  <c r="K165" i="18"/>
  <c r="J165" i="18"/>
  <c r="I165" i="18"/>
  <c r="H165" i="18"/>
  <c r="G165" i="18"/>
  <c r="F165" i="18"/>
  <c r="E165" i="18"/>
  <c r="D165" i="18"/>
  <c r="C165" i="18"/>
  <c r="O162" i="18"/>
  <c r="L162" i="18"/>
  <c r="K162" i="18"/>
  <c r="J162" i="18"/>
  <c r="I162" i="18"/>
  <c r="H162" i="18"/>
  <c r="M162" i="18" s="1"/>
  <c r="G162" i="18"/>
  <c r="F162" i="18"/>
  <c r="E162" i="18"/>
  <c r="D162" i="18"/>
  <c r="C162" i="18"/>
  <c r="L159" i="18"/>
  <c r="K159" i="18"/>
  <c r="J159" i="18"/>
  <c r="I159" i="18"/>
  <c r="N159" i="18" s="1"/>
  <c r="H159" i="18"/>
  <c r="G159" i="18"/>
  <c r="F159" i="18"/>
  <c r="E159" i="18"/>
  <c r="D159" i="18"/>
  <c r="C159" i="18"/>
  <c r="M156" i="18"/>
  <c r="L156" i="18"/>
  <c r="K156" i="18"/>
  <c r="J156" i="18"/>
  <c r="I156" i="18"/>
  <c r="H156" i="18"/>
  <c r="G156" i="18"/>
  <c r="F156" i="18"/>
  <c r="E156" i="18"/>
  <c r="D156" i="18"/>
  <c r="C156" i="18"/>
  <c r="N153" i="18"/>
  <c r="O153" i="18" s="1"/>
  <c r="P153" i="18" s="1"/>
  <c r="Q153" i="18" s="1"/>
  <c r="L152" i="18"/>
  <c r="K152" i="18"/>
  <c r="J152" i="18"/>
  <c r="I152" i="18"/>
  <c r="H152" i="18"/>
  <c r="G152" i="18"/>
  <c r="F152" i="18"/>
  <c r="E152" i="18"/>
  <c r="D152" i="18"/>
  <c r="Q123" i="18"/>
  <c r="P123" i="18"/>
  <c r="O123" i="18"/>
  <c r="N123" i="18"/>
  <c r="N103" i="18"/>
  <c r="O103" i="18" s="1"/>
  <c r="P103" i="18" s="1"/>
  <c r="Q103" i="18" s="1"/>
  <c r="Q101" i="18"/>
  <c r="N99" i="18"/>
  <c r="O99" i="18" s="1"/>
  <c r="P99" i="18" s="1"/>
  <c r="Q99" i="18" s="1"/>
  <c r="A92" i="18"/>
  <c r="A89" i="18" s="1"/>
  <c r="L87" i="18"/>
  <c r="K87" i="18"/>
  <c r="J87" i="18"/>
  <c r="I87" i="18"/>
  <c r="H87" i="18"/>
  <c r="G87" i="18"/>
  <c r="F87" i="18"/>
  <c r="E87" i="18"/>
  <c r="D87" i="18"/>
  <c r="C87" i="18"/>
  <c r="B87" i="18"/>
  <c r="L80" i="18"/>
  <c r="G80" i="18"/>
  <c r="F80" i="18"/>
  <c r="L79" i="18"/>
  <c r="K79" i="18"/>
  <c r="J79" i="18"/>
  <c r="I79" i="18"/>
  <c r="H79" i="18"/>
  <c r="G79" i="18"/>
  <c r="F79" i="18"/>
  <c r="E79" i="18"/>
  <c r="D79" i="18"/>
  <c r="L78" i="18"/>
  <c r="K78" i="18"/>
  <c r="K80" i="18" s="1"/>
  <c r="J78" i="18"/>
  <c r="J80" i="18" s="1"/>
  <c r="I78" i="18"/>
  <c r="I80" i="18" s="1"/>
  <c r="H78" i="18"/>
  <c r="H80" i="18" s="1"/>
  <c r="G78" i="18"/>
  <c r="F78" i="18"/>
  <c r="E78" i="18"/>
  <c r="E80" i="18" s="1"/>
  <c r="D78" i="18"/>
  <c r="D80" i="18" s="1"/>
  <c r="L76" i="18"/>
  <c r="K76" i="18"/>
  <c r="J76" i="18"/>
  <c r="I76" i="18"/>
  <c r="H76" i="18"/>
  <c r="G76" i="18"/>
  <c r="F76" i="18"/>
  <c r="E76" i="18"/>
  <c r="D76" i="18"/>
  <c r="C76" i="18"/>
  <c r="O75" i="18"/>
  <c r="I75" i="18"/>
  <c r="H75" i="18"/>
  <c r="B74" i="18"/>
  <c r="Q72" i="18"/>
  <c r="O72" i="18"/>
  <c r="N72" i="18"/>
  <c r="L72" i="18"/>
  <c r="K72" i="18"/>
  <c r="J72" i="18"/>
  <c r="I72" i="18"/>
  <c r="H72" i="18"/>
  <c r="G72" i="18"/>
  <c r="F72" i="18"/>
  <c r="E72" i="18"/>
  <c r="D72" i="18"/>
  <c r="C72" i="18"/>
  <c r="L69" i="18"/>
  <c r="K69" i="18"/>
  <c r="J69" i="18"/>
  <c r="I69" i="18"/>
  <c r="H69" i="18"/>
  <c r="G69" i="18"/>
  <c r="F69" i="18"/>
  <c r="E69" i="18"/>
  <c r="D69" i="18"/>
  <c r="C69" i="18"/>
  <c r="B68" i="18"/>
  <c r="Q64" i="18"/>
  <c r="P64" i="18"/>
  <c r="O64" i="18"/>
  <c r="N64" i="18"/>
  <c r="M64" i="18"/>
  <c r="I64" i="18"/>
  <c r="H64" i="18"/>
  <c r="L63" i="18"/>
  <c r="K63" i="18"/>
  <c r="L64" i="18" s="1"/>
  <c r="J63" i="18"/>
  <c r="J64" i="18" s="1"/>
  <c r="I63" i="18"/>
  <c r="H63" i="18"/>
  <c r="G63" i="18"/>
  <c r="F63" i="18"/>
  <c r="G64" i="18" s="1"/>
  <c r="E63" i="18"/>
  <c r="E64" i="18" s="1"/>
  <c r="D63" i="18"/>
  <c r="D64" i="18" s="1"/>
  <c r="C63" i="18"/>
  <c r="B62" i="18"/>
  <c r="O60" i="18"/>
  <c r="P60" i="18" s="1"/>
  <c r="Q60" i="18" s="1"/>
  <c r="K58" i="18"/>
  <c r="J58" i="18"/>
  <c r="L56" i="18"/>
  <c r="K56" i="18"/>
  <c r="L55" i="18"/>
  <c r="L58" i="18" s="1"/>
  <c r="K55" i="18"/>
  <c r="J55" i="18"/>
  <c r="I55" i="18"/>
  <c r="I58" i="18" s="1"/>
  <c r="I60" i="18" s="1"/>
  <c r="L54" i="18"/>
  <c r="K54" i="18"/>
  <c r="J54" i="18"/>
  <c r="I54" i="18"/>
  <c r="H54" i="18"/>
  <c r="G54" i="18"/>
  <c r="F54" i="18"/>
  <c r="E54" i="18"/>
  <c r="D54" i="18"/>
  <c r="I38" i="18"/>
  <c r="H38" i="18"/>
  <c r="L37" i="18"/>
  <c r="L75" i="18" s="1"/>
  <c r="K37" i="18"/>
  <c r="K65" i="18" s="1"/>
  <c r="J37" i="18"/>
  <c r="I37" i="18"/>
  <c r="I65" i="18" s="1"/>
  <c r="H37" i="18"/>
  <c r="H65" i="18" s="1"/>
  <c r="G37" i="18"/>
  <c r="G38" i="18" s="1"/>
  <c r="F37" i="18"/>
  <c r="F38" i="18" s="1"/>
  <c r="E37" i="18"/>
  <c r="E38" i="18" s="1"/>
  <c r="D37" i="18"/>
  <c r="D38" i="18" s="1"/>
  <c r="C37" i="18"/>
  <c r="C65" i="18" s="1"/>
  <c r="B37" i="18"/>
  <c r="B208" i="18" s="1"/>
  <c r="J31" i="18"/>
  <c r="I31" i="18"/>
  <c r="D31" i="18"/>
  <c r="L30" i="18"/>
  <c r="K30" i="18"/>
  <c r="J30" i="18"/>
  <c r="I30" i="18"/>
  <c r="H30" i="18"/>
  <c r="H31" i="18" s="1"/>
  <c r="G30" i="18"/>
  <c r="G31" i="18" s="1"/>
  <c r="F30" i="18"/>
  <c r="F31" i="18" s="1"/>
  <c r="E30" i="18"/>
  <c r="E31" i="18" s="1"/>
  <c r="D30" i="18"/>
  <c r="C30" i="18"/>
  <c r="L29" i="18"/>
  <c r="K29" i="18"/>
  <c r="J29" i="18"/>
  <c r="I29" i="18"/>
  <c r="H29" i="18"/>
  <c r="G29" i="18"/>
  <c r="F29" i="18"/>
  <c r="E29" i="18"/>
  <c r="D29" i="18"/>
  <c r="Q25" i="18"/>
  <c r="P25" i="18"/>
  <c r="O25" i="18"/>
  <c r="D25" i="18"/>
  <c r="Q24" i="18"/>
  <c r="P24" i="18"/>
  <c r="L24" i="18"/>
  <c r="M24" i="18" s="1"/>
  <c r="K24" i="18"/>
  <c r="K25" i="18" s="1"/>
  <c r="J24" i="18"/>
  <c r="J25" i="18" s="1"/>
  <c r="I24" i="18"/>
  <c r="I25" i="18" s="1"/>
  <c r="H24" i="18"/>
  <c r="H25" i="18" s="1"/>
  <c r="G24" i="18"/>
  <c r="G25" i="18" s="1"/>
  <c r="F24" i="18"/>
  <c r="F25" i="18" s="1"/>
  <c r="E24" i="18"/>
  <c r="E25" i="18" s="1"/>
  <c r="D24" i="18"/>
  <c r="C24" i="18"/>
  <c r="L23" i="18"/>
  <c r="K23" i="18"/>
  <c r="J23" i="18"/>
  <c r="I23" i="18"/>
  <c r="H23" i="18"/>
  <c r="G23" i="18"/>
  <c r="F23" i="18"/>
  <c r="E23" i="18"/>
  <c r="D23" i="18"/>
  <c r="L20" i="18"/>
  <c r="K20" i="18"/>
  <c r="J20" i="18"/>
  <c r="I20" i="18"/>
  <c r="H20" i="18"/>
  <c r="G20" i="18"/>
  <c r="F20" i="18"/>
  <c r="E20" i="18"/>
  <c r="D20" i="18"/>
  <c r="M19" i="18"/>
  <c r="N19" i="18" s="1"/>
  <c r="O19" i="18" s="1"/>
  <c r="P19" i="18" s="1"/>
  <c r="Q19" i="18" s="1"/>
  <c r="L18" i="18"/>
  <c r="K18" i="18"/>
  <c r="J18" i="18"/>
  <c r="I18" i="18"/>
  <c r="H18" i="18"/>
  <c r="G18" i="18"/>
  <c r="F18" i="18"/>
  <c r="E18" i="18"/>
  <c r="D18" i="18"/>
  <c r="M17" i="18"/>
  <c r="N17" i="18" s="1"/>
  <c r="O17" i="18" s="1"/>
  <c r="P17" i="18" s="1"/>
  <c r="Q17" i="18" s="1"/>
  <c r="L16" i="18"/>
  <c r="K16" i="18"/>
  <c r="J16" i="18"/>
  <c r="I16" i="18"/>
  <c r="H16" i="18"/>
  <c r="G16" i="18"/>
  <c r="F16" i="18"/>
  <c r="E16" i="18"/>
  <c r="D16" i="18"/>
  <c r="O15" i="18"/>
  <c r="N15" i="18"/>
  <c r="N58" i="18" s="1"/>
  <c r="N59" i="18" s="1"/>
  <c r="M15" i="18"/>
  <c r="M58" i="18" s="1"/>
  <c r="L14" i="18"/>
  <c r="K14" i="18"/>
  <c r="J14" i="18"/>
  <c r="I14" i="18"/>
  <c r="H14" i="18"/>
  <c r="G14" i="18"/>
  <c r="F14" i="18"/>
  <c r="E14" i="18"/>
  <c r="D14" i="18"/>
  <c r="M13" i="18"/>
  <c r="M11" i="18" s="1"/>
  <c r="M62" i="18" s="1"/>
  <c r="L12" i="18"/>
  <c r="K12" i="18"/>
  <c r="J12" i="18"/>
  <c r="I12" i="18"/>
  <c r="H12" i="18"/>
  <c r="G12" i="18"/>
  <c r="F12" i="18"/>
  <c r="E12" i="18"/>
  <c r="D12" i="18"/>
  <c r="L4" i="18"/>
  <c r="D2" i="18"/>
  <c r="C2" i="18"/>
  <c r="B2" i="18"/>
  <c r="A49" i="18" s="1"/>
  <c r="A46" i="18" s="1"/>
  <c r="O162" i="9"/>
  <c r="O57" i="9"/>
  <c r="AB315" i="19" a="1"/>
  <c r="AB296" i="19" a="1"/>
  <c r="AB310" i="19" a="1"/>
  <c r="AB281" i="19" a="1"/>
  <c r="AB305" i="19" a="1"/>
  <c r="AB314" i="19" a="1"/>
  <c r="AB286" i="19" a="1"/>
  <c r="AB313" i="19" a="1"/>
  <c r="AB255" i="19" a="1"/>
  <c r="J7" i="19" a="1"/>
  <c r="D7" i="19" a="1"/>
  <c r="Z7" i="19" a="1"/>
  <c r="I7" i="19" a="1"/>
  <c r="C7" i="19" a="1"/>
  <c r="Y115" i="19" a="1"/>
  <c r="Y7" i="19" a="1"/>
  <c r="H7" i="19" a="1"/>
  <c r="B7" i="19" a="1"/>
  <c r="X7" i="19" a="1"/>
  <c r="G7" i="19" a="1"/>
  <c r="K7" i="19" a="1"/>
  <c r="E7" i="19" a="1"/>
  <c r="L7" i="19" a="1"/>
  <c r="F7" i="19" a="1"/>
  <c r="A4" i="19"/>
  <c r="X110" i="19" a="1"/>
  <c r="AB315" i="18" a="1"/>
  <c r="AB296" i="18" a="1"/>
  <c r="AB310" i="18" a="1"/>
  <c r="AB281" i="18" a="1"/>
  <c r="AB305" i="18" a="1"/>
  <c r="AB314" i="18" a="1"/>
  <c r="AB286" i="18" a="1"/>
  <c r="Y115" i="18" a="1"/>
  <c r="J7" i="18" a="1"/>
  <c r="D7" i="18" a="1"/>
  <c r="B7" i="18" a="1"/>
  <c r="Z7" i="18" a="1"/>
  <c r="C7" i="18" a="1"/>
  <c r="I7" i="18" a="1"/>
  <c r="AB255" i="18" a="1"/>
  <c r="H7" i="18" a="1"/>
  <c r="AB313" i="18" a="1"/>
  <c r="Y7" i="18" a="1"/>
  <c r="K7" i="18" a="1"/>
  <c r="X7" i="18" a="1"/>
  <c r="G7" i="18" a="1"/>
  <c r="E7" i="18" a="1"/>
  <c r="A4" i="18"/>
  <c r="L7" i="18" a="1"/>
  <c r="F7" i="18" a="1"/>
  <c r="X107" i="18" a="1"/>
  <c r="Y38" i="18" a="1"/>
  <c r="M55" i="18" l="1"/>
  <c r="M53" i="18" s="1"/>
  <c r="Y57" i="21"/>
  <c r="Z56" i="21"/>
  <c r="Z55" i="21"/>
  <c r="Z59" i="21"/>
  <c r="AA54" i="21"/>
  <c r="AB54" i="21" s="1"/>
  <c r="AC54" i="21" s="1"/>
  <c r="AD54" i="21" s="1"/>
  <c r="AE54" i="21" s="1"/>
  <c r="Y40" i="21"/>
  <c r="Y23" i="21"/>
  <c r="Y65" i="21"/>
  <c r="AA22" i="21"/>
  <c r="AB22" i="21" s="1"/>
  <c r="AC22" i="21" s="1"/>
  <c r="AD22" i="21" s="1"/>
  <c r="AE22" i="21" s="1"/>
  <c r="Z23" i="21"/>
  <c r="Z31" i="21"/>
  <c r="Y48" i="21"/>
  <c r="Z65" i="21"/>
  <c r="Z48" i="21"/>
  <c r="Z39" i="21"/>
  <c r="Z38" i="21"/>
  <c r="Z42" i="21"/>
  <c r="AA37" i="21"/>
  <c r="X31" i="21"/>
  <c r="X12" i="21"/>
  <c r="AA20" i="21"/>
  <c r="Y25" i="21"/>
  <c r="Y26" i="21" s="1"/>
  <c r="Y42" i="21"/>
  <c r="Y43" i="21" s="1"/>
  <c r="Y59" i="21"/>
  <c r="Y60" i="21" s="1"/>
  <c r="Y12" i="21"/>
  <c r="Z25" i="21"/>
  <c r="X13" i="21"/>
  <c r="X48" i="21" s="1"/>
  <c r="O18" i="21"/>
  <c r="O19" i="21"/>
  <c r="P18" i="21"/>
  <c r="Y21" i="21"/>
  <c r="Z21" i="21"/>
  <c r="Y38" i="21"/>
  <c r="Y55" i="21"/>
  <c r="AL6" i="21"/>
  <c r="Y30" i="21"/>
  <c r="Y31" i="21" s="1"/>
  <c r="X39" i="20"/>
  <c r="Y40" i="20" s="1"/>
  <c r="X42" i="20"/>
  <c r="Z31" i="20"/>
  <c r="AA56" i="20"/>
  <c r="Z57" i="20"/>
  <c r="X65" i="20"/>
  <c r="Z40" i="20"/>
  <c r="AA39" i="20"/>
  <c r="AB39" i="20" s="1"/>
  <c r="AC39" i="20" s="1"/>
  <c r="AD39" i="20" s="1"/>
  <c r="AE39" i="20" s="1"/>
  <c r="Y65" i="20"/>
  <c r="X48" i="20"/>
  <c r="Z65" i="20"/>
  <c r="X22" i="20"/>
  <c r="X25" i="20"/>
  <c r="Y48" i="20"/>
  <c r="Y25" i="20"/>
  <c r="Y22" i="20"/>
  <c r="Y23" i="20" s="1"/>
  <c r="Y21" i="20"/>
  <c r="Z48" i="20"/>
  <c r="Y14" i="20"/>
  <c r="AA22" i="20"/>
  <c r="AB22" i="20" s="1"/>
  <c r="AC22" i="20" s="1"/>
  <c r="AD22" i="20" s="1"/>
  <c r="AE22" i="20" s="1"/>
  <c r="Z23" i="20"/>
  <c r="X56" i="20"/>
  <c r="Y57" i="20" s="1"/>
  <c r="X59" i="20"/>
  <c r="Y12" i="20"/>
  <c r="Z25" i="20"/>
  <c r="AA37" i="20"/>
  <c r="Z42" i="20"/>
  <c r="AA54" i="20"/>
  <c r="AB54" i="20" s="1"/>
  <c r="AC54" i="20" s="1"/>
  <c r="AD54" i="20" s="1"/>
  <c r="AE54" i="20" s="1"/>
  <c r="Z59" i="20"/>
  <c r="Y42" i="20"/>
  <c r="Z12" i="20"/>
  <c r="X13" i="20"/>
  <c r="AA20" i="20"/>
  <c r="O332" i="18"/>
  <c r="O352" i="18" s="1"/>
  <c r="O353" i="18" s="1"/>
  <c r="O18" i="20"/>
  <c r="O19" i="20"/>
  <c r="Y59" i="20"/>
  <c r="Z21" i="20"/>
  <c r="Y38" i="20"/>
  <c r="Y55" i="20"/>
  <c r="Z38" i="20"/>
  <c r="Z55" i="20"/>
  <c r="Y30" i="20"/>
  <c r="Y31" i="20" s="1"/>
  <c r="N332" i="19"/>
  <c r="N352" i="19" s="1"/>
  <c r="N353" i="19" s="1"/>
  <c r="O332" i="19"/>
  <c r="O352" i="19" s="1"/>
  <c r="O353" i="19" s="1"/>
  <c r="X110" i="19"/>
  <c r="F7" i="19"/>
  <c r="L7" i="19"/>
  <c r="E7" i="19"/>
  <c r="K7" i="19"/>
  <c r="G7" i="19"/>
  <c r="X7" i="19"/>
  <c r="B7" i="19"/>
  <c r="H7" i="19"/>
  <c r="Y7" i="19"/>
  <c r="Y115" i="19"/>
  <c r="C7" i="19"/>
  <c r="I7" i="19"/>
  <c r="Z7" i="19"/>
  <c r="D7" i="19"/>
  <c r="J7" i="19"/>
  <c r="AB255" i="19"/>
  <c r="AB313" i="19"/>
  <c r="AB286" i="19"/>
  <c r="AB314" i="19"/>
  <c r="AB305" i="19"/>
  <c r="AB281" i="19"/>
  <c r="AB310" i="19"/>
  <c r="AB296" i="19"/>
  <c r="AB315" i="19"/>
  <c r="J59" i="19"/>
  <c r="J60" i="19"/>
  <c r="N25" i="19"/>
  <c r="M25" i="19"/>
  <c r="D66" i="19"/>
  <c r="O15" i="19"/>
  <c r="N58" i="19"/>
  <c r="J66" i="19"/>
  <c r="M30" i="19"/>
  <c r="L65" i="19"/>
  <c r="C75" i="19"/>
  <c r="Q75" i="19"/>
  <c r="L31" i="19"/>
  <c r="K38" i="19"/>
  <c r="M58" i="19"/>
  <c r="M59" i="19" s="1"/>
  <c r="D75" i="19"/>
  <c r="M353" i="19"/>
  <c r="N332" i="18"/>
  <c r="N352" i="18" s="1"/>
  <c r="N353" i="18" s="1"/>
  <c r="L38" i="19"/>
  <c r="E75" i="19"/>
  <c r="F64" i="19"/>
  <c r="F75" i="19"/>
  <c r="P332" i="18"/>
  <c r="P352" i="18" s="1"/>
  <c r="P353" i="18" s="1"/>
  <c r="K60" i="19"/>
  <c r="G75" i="19"/>
  <c r="H64" i="19"/>
  <c r="E65" i="19"/>
  <c r="E66" i="19" s="1"/>
  <c r="H75" i="19"/>
  <c r="L25" i="19"/>
  <c r="F65" i="19"/>
  <c r="G66" i="19" s="1"/>
  <c r="K59" i="19"/>
  <c r="J75" i="19"/>
  <c r="M156" i="19"/>
  <c r="K65" i="19"/>
  <c r="K66" i="19" s="1"/>
  <c r="J56" i="19"/>
  <c r="H65" i="19"/>
  <c r="H66" i="19" s="1"/>
  <c r="K75" i="19"/>
  <c r="N262" i="19"/>
  <c r="Q24" i="19"/>
  <c r="K56" i="19"/>
  <c r="L64" i="19"/>
  <c r="P162" i="19"/>
  <c r="Q162" i="19" s="1"/>
  <c r="O165" i="19"/>
  <c r="N165" i="19"/>
  <c r="P264" i="19"/>
  <c r="O156" i="19"/>
  <c r="O264" i="19"/>
  <c r="P332" i="19"/>
  <c r="P352" i="19" s="1"/>
  <c r="P353" i="19" s="1"/>
  <c r="Q332" i="19"/>
  <c r="Q352" i="19" s="1"/>
  <c r="Q353" i="19" s="1"/>
  <c r="N194" i="19"/>
  <c r="N263" i="19"/>
  <c r="N200" i="19"/>
  <c r="Q200" i="19" s="1"/>
  <c r="O263" i="19"/>
  <c r="O200" i="19"/>
  <c r="N261" i="19"/>
  <c r="N190" i="19"/>
  <c r="P200" i="19"/>
  <c r="Y38" i="18"/>
  <c r="X107" i="18"/>
  <c r="F7" i="18"/>
  <c r="L7" i="18"/>
  <c r="L3" i="18" s="1"/>
  <c r="M4" i="18" s="1"/>
  <c r="N4" i="18" s="1"/>
  <c r="E7" i="18"/>
  <c r="G7" i="18"/>
  <c r="X7" i="18"/>
  <c r="K7" i="18"/>
  <c r="Y7" i="18"/>
  <c r="AB313" i="18"/>
  <c r="H7" i="18"/>
  <c r="AB255" i="18"/>
  <c r="I7" i="18"/>
  <c r="C7" i="18"/>
  <c r="Z7" i="18"/>
  <c r="B7" i="18"/>
  <c r="D7" i="18"/>
  <c r="J7" i="18"/>
  <c r="Y115" i="18"/>
  <c r="AB286" i="18"/>
  <c r="AB314" i="18"/>
  <c r="AB305" i="18"/>
  <c r="AB281" i="18"/>
  <c r="AB310" i="18"/>
  <c r="AB296" i="18"/>
  <c r="AB315" i="18"/>
  <c r="K66" i="18"/>
  <c r="K59" i="18"/>
  <c r="J59" i="18"/>
  <c r="J60" i="18"/>
  <c r="J75" i="18"/>
  <c r="J38" i="18"/>
  <c r="J65" i="18"/>
  <c r="J66" i="18" s="1"/>
  <c r="N264" i="18"/>
  <c r="O264" i="18" s="1"/>
  <c r="L59" i="18"/>
  <c r="L60" i="18"/>
  <c r="P75" i="18"/>
  <c r="M158" i="18"/>
  <c r="M187" i="18"/>
  <c r="M68" i="18"/>
  <c r="M12" i="18"/>
  <c r="M191" i="18"/>
  <c r="M184" i="18"/>
  <c r="M71" i="18"/>
  <c r="M59" i="18"/>
  <c r="N30" i="18"/>
  <c r="M56" i="18"/>
  <c r="O58" i="18"/>
  <c r="O59" i="18" s="1"/>
  <c r="P15" i="18"/>
  <c r="N25" i="18"/>
  <c r="M25" i="18"/>
  <c r="O30" i="18"/>
  <c r="K31" i="18"/>
  <c r="M30" i="18"/>
  <c r="I66" i="18"/>
  <c r="L65" i="18"/>
  <c r="L66" i="18" s="1"/>
  <c r="C75" i="18"/>
  <c r="L31" i="18"/>
  <c r="K38" i="18"/>
  <c r="D75" i="18"/>
  <c r="P156" i="18"/>
  <c r="O156" i="18"/>
  <c r="L38" i="18"/>
  <c r="E75" i="18"/>
  <c r="Q156" i="18"/>
  <c r="P162" i="18"/>
  <c r="Q162" i="18" s="1"/>
  <c r="F64" i="18"/>
  <c r="F75" i="18"/>
  <c r="M155" i="18"/>
  <c r="M353" i="18"/>
  <c r="K60" i="18"/>
  <c r="D65" i="18"/>
  <c r="D66" i="18" s="1"/>
  <c r="G75" i="18"/>
  <c r="E65" i="18"/>
  <c r="M164" i="18"/>
  <c r="L25" i="18"/>
  <c r="F65" i="18"/>
  <c r="G65" i="18"/>
  <c r="J56" i="18"/>
  <c r="K64" i="18"/>
  <c r="K75" i="18"/>
  <c r="N262" i="18"/>
  <c r="N165" i="18"/>
  <c r="Q332" i="18"/>
  <c r="Q352" i="18" s="1"/>
  <c r="Q353" i="18" s="1"/>
  <c r="N194" i="18"/>
  <c r="M210" i="18"/>
  <c r="N263" i="18"/>
  <c r="O263" i="18" s="1"/>
  <c r="P263" i="18" s="1"/>
  <c r="N200" i="18"/>
  <c r="N261" i="18"/>
  <c r="P57" i="9"/>
  <c r="Q57" i="9" s="1"/>
  <c r="I252" i="19" a="1"/>
  <c r="Z235" i="19" a="1"/>
  <c r="X272" i="19" a="1"/>
  <c r="Y245" i="19" a="1"/>
  <c r="F252" i="19" a="1"/>
  <c r="X107" i="19" a="1"/>
  <c r="X232" i="19" a="1"/>
  <c r="X245" i="19" a="1"/>
  <c r="Z272" i="19" a="1"/>
  <c r="Z214" i="19" a="1"/>
  <c r="Y232" i="19" a="1"/>
  <c r="D252" i="19" a="1"/>
  <c r="Z100" i="19" a="1"/>
  <c r="Z183" i="19" a="1"/>
  <c r="X183" i="19" a="1"/>
  <c r="X161" i="19" a="1"/>
  <c r="E252" i="19" a="1"/>
  <c r="J252" i="19" a="1"/>
  <c r="Y95" i="19" a="1"/>
  <c r="Z279" i="19" a="1"/>
  <c r="Y171" i="19" a="1"/>
  <c r="X214" i="19" a="1"/>
  <c r="Z107" i="19" a="1"/>
  <c r="K252" i="19" a="1"/>
  <c r="Y235" i="19" a="1"/>
  <c r="X279" i="19" a="1"/>
  <c r="G252" i="19" a="1"/>
  <c r="X100" i="19" a="1"/>
  <c r="Y107" i="19" a="1"/>
  <c r="Y272" i="19" a="1"/>
  <c r="Z245" i="19" a="1"/>
  <c r="Y183" i="19" a="1"/>
  <c r="Z232" i="19" a="1"/>
  <c r="B252" i="19" a="1"/>
  <c r="Z38" i="19" a="1"/>
  <c r="X115" i="19" a="1"/>
  <c r="X95" i="19" a="1"/>
  <c r="Z171" i="19" a="1"/>
  <c r="Y161" i="19" a="1"/>
  <c r="H252" i="19" a="1"/>
  <c r="Y279" i="19" a="1"/>
  <c r="Z115" i="19" a="1"/>
  <c r="X38" i="19" a="1"/>
  <c r="X235" i="19" a="1"/>
  <c r="Y110" i="19" a="1"/>
  <c r="Z161" i="19" a="1"/>
  <c r="Y214" i="19" a="1"/>
  <c r="Y38" i="19" a="1"/>
  <c r="C252" i="19" a="1"/>
  <c r="Z95" i="19" a="1"/>
  <c r="Y100" i="19" a="1"/>
  <c r="Z110" i="19" a="1"/>
  <c r="X171" i="19" a="1"/>
  <c r="I252" i="18" a="1"/>
  <c r="Z183" i="18" a="1"/>
  <c r="X183" i="18" a="1"/>
  <c r="X161" i="18" a="1"/>
  <c r="C252" i="18" a="1"/>
  <c r="Z279" i="18" a="1"/>
  <c r="Y171" i="18" a="1"/>
  <c r="X232" i="18" a="1"/>
  <c r="F252" i="18" a="1"/>
  <c r="X95" i="18" a="1"/>
  <c r="Y235" i="18" a="1"/>
  <c r="X279" i="18" a="1"/>
  <c r="X110" i="18" a="1"/>
  <c r="L252" i="18" a="1"/>
  <c r="B252" i="18" a="1"/>
  <c r="Z38" i="18" a="1"/>
  <c r="X100" i="18" a="1"/>
  <c r="Y272" i="18" a="1"/>
  <c r="Z245" i="18" a="1"/>
  <c r="E252" i="18" a="1"/>
  <c r="D252" i="18" a="1"/>
  <c r="Y183" i="18" a="1"/>
  <c r="Z232" i="18" a="1"/>
  <c r="Z100" i="18" a="1"/>
  <c r="G252" i="18" a="1"/>
  <c r="J252" i="18" a="1"/>
  <c r="Y95" i="18" a="1"/>
  <c r="X245" i="18" a="1"/>
  <c r="Y100" i="18" a="1"/>
  <c r="Z171" i="18" a="1"/>
  <c r="Y161" i="18" a="1"/>
  <c r="Z107" i="18" a="1"/>
  <c r="Y279" i="18" a="1"/>
  <c r="Z115" i="18" a="1"/>
  <c r="Y107" i="18" a="1"/>
  <c r="K252" i="18" a="1"/>
  <c r="X235" i="18" a="1"/>
  <c r="Y110" i="18" a="1"/>
  <c r="X38" i="18" a="1"/>
  <c r="Z95" i="18" a="1"/>
  <c r="Z161" i="18" a="1"/>
  <c r="Y214" i="18" a="1"/>
  <c r="X115" i="18" a="1"/>
  <c r="Z110" i="18" a="1"/>
  <c r="X171" i="18" a="1"/>
  <c r="H252" i="18" a="1"/>
  <c r="Z235" i="18" a="1"/>
  <c r="X272" i="18" a="1"/>
  <c r="Y245" i="18" a="1"/>
  <c r="Z272" i="18" a="1"/>
  <c r="Z214" i="18" a="1"/>
  <c r="Y232" i="18" a="1"/>
  <c r="X214" i="18" a="1"/>
  <c r="Z43" i="21" l="1"/>
  <c r="AA42" i="21"/>
  <c r="Z26" i="21"/>
  <c r="AA25" i="21"/>
  <c r="X14" i="21"/>
  <c r="Y14" i="21"/>
  <c r="AB37" i="21"/>
  <c r="Z60" i="21"/>
  <c r="AA59" i="21"/>
  <c r="AA39" i="21"/>
  <c r="AB39" i="21" s="1"/>
  <c r="AC39" i="21" s="1"/>
  <c r="AD39" i="21" s="1"/>
  <c r="AE39" i="21" s="1"/>
  <c r="Z40" i="21"/>
  <c r="X65" i="21"/>
  <c r="AA56" i="21"/>
  <c r="Z57" i="21"/>
  <c r="AA17" i="21"/>
  <c r="AB20" i="21"/>
  <c r="AA7" i="21"/>
  <c r="Y43" i="20"/>
  <c r="Z60" i="20"/>
  <c r="AA59" i="20"/>
  <c r="Z43" i="20"/>
  <c r="AA42" i="20"/>
  <c r="Y26" i="20"/>
  <c r="AB37" i="20"/>
  <c r="AA34" i="20"/>
  <c r="AB56" i="20"/>
  <c r="AA51" i="20"/>
  <c r="Y60" i="20"/>
  <c r="Z26" i="20"/>
  <c r="AA25" i="20"/>
  <c r="AA7" i="20"/>
  <c r="AA17" i="20"/>
  <c r="AB20" i="20"/>
  <c r="X14" i="20"/>
  <c r="X31" i="20"/>
  <c r="X171" i="19"/>
  <c r="Z110" i="19"/>
  <c r="Y100" i="19"/>
  <c r="Z95" i="19"/>
  <c r="C252" i="19"/>
  <c r="Y38" i="19"/>
  <c r="Y214" i="19"/>
  <c r="Z161" i="19"/>
  <c r="Y110" i="19"/>
  <c r="X235" i="19"/>
  <c r="X38" i="19"/>
  <c r="Z115" i="19"/>
  <c r="Y279" i="19"/>
  <c r="H252" i="19"/>
  <c r="Y161" i="19"/>
  <c r="Z171" i="19"/>
  <c r="X95" i="19"/>
  <c r="X115" i="19"/>
  <c r="Z38" i="19"/>
  <c r="B252" i="19"/>
  <c r="Z232" i="19"/>
  <c r="Y183" i="19"/>
  <c r="Z245" i="19"/>
  <c r="Y272" i="19"/>
  <c r="Y107" i="19"/>
  <c r="X100" i="19"/>
  <c r="G252" i="19"/>
  <c r="X279" i="19"/>
  <c r="Y235" i="19"/>
  <c r="K252" i="19"/>
  <c r="Z107" i="19"/>
  <c r="X214" i="19"/>
  <c r="Y171" i="19"/>
  <c r="Z279" i="19"/>
  <c r="Y95" i="19"/>
  <c r="J252" i="19"/>
  <c r="E252" i="19"/>
  <c r="X161" i="19"/>
  <c r="X183" i="19"/>
  <c r="Z183" i="19"/>
  <c r="Z100" i="19"/>
  <c r="D252" i="19"/>
  <c r="Y232" i="19"/>
  <c r="Z214" i="19"/>
  <c r="Z272" i="19"/>
  <c r="X245" i="19"/>
  <c r="X232" i="19"/>
  <c r="X107" i="19"/>
  <c r="F252" i="19"/>
  <c r="Y245" i="19"/>
  <c r="X272" i="19"/>
  <c r="Z235" i="19"/>
  <c r="I252" i="19"/>
  <c r="O194" i="19"/>
  <c r="P190" i="19"/>
  <c r="Q190" i="19" s="1"/>
  <c r="O262" i="19"/>
  <c r="P262" i="19" s="1"/>
  <c r="L66" i="19"/>
  <c r="P165" i="19"/>
  <c r="Q264" i="19"/>
  <c r="P156" i="19"/>
  <c r="N30" i="19"/>
  <c r="P263" i="19"/>
  <c r="O190" i="19"/>
  <c r="Q25" i="19"/>
  <c r="O261" i="19"/>
  <c r="N59" i="19"/>
  <c r="P15" i="19"/>
  <c r="O58" i="19"/>
  <c r="O59" i="19" s="1"/>
  <c r="L3" i="19"/>
  <c r="M4" i="19" s="1"/>
  <c r="N4" i="19" s="1"/>
  <c r="F66" i="19"/>
  <c r="I66" i="19"/>
  <c r="X214" i="18"/>
  <c r="Y232" i="18"/>
  <c r="Z214" i="18"/>
  <c r="Z272" i="18"/>
  <c r="Y245" i="18"/>
  <c r="X272" i="18"/>
  <c r="Z235" i="18"/>
  <c r="H252" i="18"/>
  <c r="X171" i="18"/>
  <c r="Z110" i="18"/>
  <c r="X115" i="18"/>
  <c r="Y214" i="18"/>
  <c r="Z161" i="18"/>
  <c r="Z95" i="18"/>
  <c r="X38" i="18"/>
  <c r="Y110" i="18"/>
  <c r="X235" i="18"/>
  <c r="K252" i="18"/>
  <c r="Y107" i="18"/>
  <c r="Z115" i="18"/>
  <c r="Y279" i="18"/>
  <c r="Z107" i="18"/>
  <c r="Y161" i="18"/>
  <c r="Z171" i="18"/>
  <c r="Y100" i="18"/>
  <c r="X245" i="18"/>
  <c r="Y95" i="18"/>
  <c r="J252" i="18"/>
  <c r="G252" i="18"/>
  <c r="Z100" i="18"/>
  <c r="Z232" i="18"/>
  <c r="Y183" i="18"/>
  <c r="D252" i="18"/>
  <c r="E252" i="18"/>
  <c r="Z245" i="18"/>
  <c r="Y272" i="18"/>
  <c r="X100" i="18"/>
  <c r="Z38" i="18"/>
  <c r="B252" i="18"/>
  <c r="L252" i="18"/>
  <c r="X110" i="18"/>
  <c r="X279" i="18"/>
  <c r="Y235" i="18"/>
  <c r="X95" i="18"/>
  <c r="F252" i="18"/>
  <c r="X232" i="18"/>
  <c r="Y171" i="18"/>
  <c r="Z279" i="18"/>
  <c r="C252" i="18"/>
  <c r="X161" i="18"/>
  <c r="X183" i="18"/>
  <c r="Z183" i="18"/>
  <c r="I252" i="18"/>
  <c r="Q263" i="18"/>
  <c r="Q30" i="18"/>
  <c r="M28" i="18"/>
  <c r="M54" i="18"/>
  <c r="M78" i="18"/>
  <c r="Q75" i="18"/>
  <c r="P261" i="18"/>
  <c r="O200" i="18"/>
  <c r="P200" i="18" s="1"/>
  <c r="G66" i="18"/>
  <c r="H66" i="18"/>
  <c r="E66" i="18"/>
  <c r="O261" i="18"/>
  <c r="P58" i="18"/>
  <c r="P59" i="18" s="1"/>
  <c r="Q15" i="18"/>
  <c r="Q58" i="18" s="1"/>
  <c r="O262" i="18"/>
  <c r="P264" i="18"/>
  <c r="Q264" i="18" s="1"/>
  <c r="P30" i="18"/>
  <c r="O194" i="18"/>
  <c r="F66" i="18"/>
  <c r="O165" i="18"/>
  <c r="D15" i="13"/>
  <c r="L252" i="19" a="1"/>
  <c r="AA41" i="21" l="1"/>
  <c r="AB42" i="21"/>
  <c r="AA58" i="21"/>
  <c r="AB59" i="21"/>
  <c r="AA34" i="21"/>
  <c r="AC37" i="21"/>
  <c r="AB34" i="21"/>
  <c r="AB17" i="21"/>
  <c r="AC20" i="21"/>
  <c r="AB7" i="21"/>
  <c r="AA30" i="21"/>
  <c r="AA18" i="21"/>
  <c r="AA27" i="21"/>
  <c r="AA24" i="21"/>
  <c r="AB25" i="21"/>
  <c r="AA51" i="21"/>
  <c r="AB56" i="21"/>
  <c r="AA58" i="20"/>
  <c r="AA63" i="20" s="1"/>
  <c r="AB59" i="20"/>
  <c r="AA24" i="20"/>
  <c r="AB25" i="20"/>
  <c r="AA30" i="20"/>
  <c r="AA5" i="20"/>
  <c r="AA19" i="20"/>
  <c r="AA18" i="20"/>
  <c r="AA27" i="20"/>
  <c r="AA53" i="20"/>
  <c r="AA52" i="20"/>
  <c r="AA61" i="20"/>
  <c r="AB17" i="20"/>
  <c r="AC20" i="20"/>
  <c r="AB7" i="20"/>
  <c r="AB51" i="20"/>
  <c r="AC56" i="20"/>
  <c r="AA44" i="20"/>
  <c r="AA36" i="20"/>
  <c r="AA35" i="20"/>
  <c r="AC37" i="20"/>
  <c r="AB34" i="20"/>
  <c r="AA41" i="20"/>
  <c r="AA46" i="20" s="1"/>
  <c r="AB42" i="20"/>
  <c r="L252" i="19"/>
  <c r="P261" i="19"/>
  <c r="P58" i="19"/>
  <c r="P59" i="19" s="1"/>
  <c r="Q15" i="19"/>
  <c r="Q58" i="19" s="1"/>
  <c r="Q263" i="19"/>
  <c r="Q156" i="19"/>
  <c r="Q165" i="19"/>
  <c r="Q262" i="19"/>
  <c r="O30" i="19"/>
  <c r="P30" i="19"/>
  <c r="P194" i="19"/>
  <c r="Q194" i="19" s="1"/>
  <c r="Q262" i="18"/>
  <c r="Q59" i="18"/>
  <c r="P165" i="18"/>
  <c r="Q261" i="18"/>
  <c r="Q200" i="18"/>
  <c r="P262" i="18"/>
  <c r="Q194" i="18"/>
  <c r="P194" i="18"/>
  <c r="AD28" i="12"/>
  <c r="AE28" i="12" s="1"/>
  <c r="AC28" i="12"/>
  <c r="Q59" i="19" l="1"/>
  <c r="AA8" i="21"/>
  <c r="AA9" i="21" s="1"/>
  <c r="AO6" i="21"/>
  <c r="M14" i="19" s="1"/>
  <c r="M13" i="19" s="1"/>
  <c r="M11" i="19" s="1"/>
  <c r="AA6" i="21"/>
  <c r="AC17" i="21"/>
  <c r="AD20" i="21"/>
  <c r="AC7" i="21"/>
  <c r="AB51" i="21"/>
  <c r="AC56" i="21"/>
  <c r="AB35" i="21"/>
  <c r="AB44" i="21"/>
  <c r="AD37" i="21"/>
  <c r="AC34" i="21"/>
  <c r="AA36" i="21"/>
  <c r="AA35" i="21"/>
  <c r="AA44" i="21"/>
  <c r="AA47" i="21" s="1"/>
  <c r="AB24" i="21"/>
  <c r="AC25" i="21"/>
  <c r="AA11" i="21"/>
  <c r="AO11" i="21" s="1"/>
  <c r="AO13" i="21" s="1"/>
  <c r="AB41" i="21"/>
  <c r="AB46" i="21" s="1"/>
  <c r="AC42" i="21"/>
  <c r="AB18" i="21"/>
  <c r="AB27" i="21"/>
  <c r="AA53" i="21"/>
  <c r="AA52" i="21"/>
  <c r="AA61" i="21"/>
  <c r="AA64" i="21" s="1"/>
  <c r="AA29" i="21"/>
  <c r="AA10" i="21"/>
  <c r="AB58" i="21"/>
  <c r="AC59" i="21"/>
  <c r="AA63" i="21"/>
  <c r="AA19" i="21"/>
  <c r="AA46" i="21"/>
  <c r="AB52" i="20"/>
  <c r="AB61" i="20"/>
  <c r="AB24" i="20"/>
  <c r="AC25" i="20"/>
  <c r="AB41" i="20"/>
  <c r="AB46" i="20" s="1"/>
  <c r="AC42" i="20"/>
  <c r="AB35" i="20"/>
  <c r="AB44" i="20"/>
  <c r="AD37" i="20"/>
  <c r="AC34" i="20"/>
  <c r="AA31" i="20"/>
  <c r="AA29" i="20"/>
  <c r="AA10" i="20"/>
  <c r="AB5" i="20"/>
  <c r="AB19" i="20" s="1"/>
  <c r="AB18" i="20"/>
  <c r="AB27" i="20"/>
  <c r="AA11" i="20"/>
  <c r="AO11" i="20" s="1"/>
  <c r="AA47" i="20"/>
  <c r="AC17" i="20"/>
  <c r="AD20" i="20"/>
  <c r="AC7" i="20"/>
  <c r="AB58" i="20"/>
  <c r="AB63" i="20" s="1"/>
  <c r="AC59" i="20"/>
  <c r="AA64" i="20"/>
  <c r="AC51" i="20"/>
  <c r="AD56" i="20"/>
  <c r="AA8" i="20"/>
  <c r="AA9" i="20" s="1"/>
  <c r="AA13" i="20"/>
  <c r="AO5" i="20"/>
  <c r="AO6" i="20" s="1"/>
  <c r="AA6" i="20"/>
  <c r="Q30" i="19"/>
  <c r="Q261" i="19"/>
  <c r="Q165" i="18"/>
  <c r="C313" i="9"/>
  <c r="P24" i="9"/>
  <c r="Q24" i="9" s="1"/>
  <c r="O75" i="9"/>
  <c r="P75" i="9" s="1"/>
  <c r="Q75" i="9" s="1"/>
  <c r="O188" i="9"/>
  <c r="P188" i="9" s="1"/>
  <c r="Q188" i="9" s="1"/>
  <c r="C316" i="9"/>
  <c r="Q170" i="9"/>
  <c r="P170" i="9"/>
  <c r="O170" i="9"/>
  <c r="N170" i="9"/>
  <c r="M170" i="9"/>
  <c r="L170" i="9"/>
  <c r="K170" i="9"/>
  <c r="J170" i="9"/>
  <c r="I170" i="9"/>
  <c r="H170" i="9"/>
  <c r="G170" i="9"/>
  <c r="F170" i="9"/>
  <c r="E170" i="9"/>
  <c r="D170" i="9"/>
  <c r="L165" i="9"/>
  <c r="K165" i="9"/>
  <c r="J165" i="9"/>
  <c r="I165" i="9"/>
  <c r="H165" i="9"/>
  <c r="G165" i="9"/>
  <c r="F165" i="9"/>
  <c r="E165" i="9"/>
  <c r="D165" i="9"/>
  <c r="C165" i="9"/>
  <c r="M165" i="9" l="1"/>
  <c r="N165" i="9" s="1"/>
  <c r="M164" i="19"/>
  <c r="M155" i="19"/>
  <c r="M71" i="19"/>
  <c r="M184" i="19"/>
  <c r="M210" i="19" s="1"/>
  <c r="M158" i="19"/>
  <c r="M187" i="19"/>
  <c r="M28" i="19"/>
  <c r="M68" i="19"/>
  <c r="M12" i="19"/>
  <c r="M191" i="19"/>
  <c r="M62" i="19"/>
  <c r="AB47" i="20"/>
  <c r="AB53" i="20"/>
  <c r="AB36" i="20"/>
  <c r="AB47" i="21"/>
  <c r="AC51" i="21"/>
  <c r="AC5" i="21" s="1"/>
  <c r="AC19" i="21" s="1"/>
  <c r="AD56" i="21"/>
  <c r="AB10" i="21"/>
  <c r="AB29" i="21"/>
  <c r="AB52" i="21"/>
  <c r="AB61" i="21"/>
  <c r="AB11" i="21" s="1"/>
  <c r="AB30" i="21"/>
  <c r="AD17" i="21"/>
  <c r="AE20" i="21"/>
  <c r="AD7" i="21"/>
  <c r="AC18" i="21"/>
  <c r="AC27" i="21"/>
  <c r="AA12" i="21"/>
  <c r="AO10" i="21"/>
  <c r="AO12" i="21" s="1"/>
  <c r="M57" i="19" s="1"/>
  <c r="M55" i="19" s="1"/>
  <c r="AC58" i="21"/>
  <c r="AC63" i="21" s="1"/>
  <c r="AD59" i="21"/>
  <c r="AB5" i="21"/>
  <c r="AB53" i="21" s="1"/>
  <c r="AA13" i="21"/>
  <c r="AA65" i="21" s="1"/>
  <c r="AC24" i="21"/>
  <c r="AC30" i="21" s="1"/>
  <c r="AD25" i="21"/>
  <c r="AC35" i="21"/>
  <c r="AC44" i="21"/>
  <c r="AE37" i="21"/>
  <c r="AE34" i="21" s="1"/>
  <c r="AD34" i="21"/>
  <c r="AB63" i="21"/>
  <c r="AC41" i="21"/>
  <c r="AC46" i="21" s="1"/>
  <c r="AD42" i="21"/>
  <c r="AC5" i="20"/>
  <c r="AC53" i="20" s="1"/>
  <c r="AC18" i="20"/>
  <c r="AC27" i="20"/>
  <c r="AE37" i="20"/>
  <c r="AE34" i="20" s="1"/>
  <c r="AD34" i="20"/>
  <c r="AB64" i="20"/>
  <c r="AA48" i="20"/>
  <c r="AO13" i="20"/>
  <c r="AD17" i="20"/>
  <c r="AE20" i="20"/>
  <c r="AD7" i="20"/>
  <c r="AA14" i="20"/>
  <c r="AO14" i="20"/>
  <c r="AO15" i="20" s="1"/>
  <c r="AA65" i="20"/>
  <c r="AB8" i="20"/>
  <c r="AB6" i="20"/>
  <c r="AC24" i="20"/>
  <c r="AD25" i="20"/>
  <c r="AC35" i="20"/>
  <c r="AC44" i="20"/>
  <c r="AB11" i="20"/>
  <c r="AD51" i="20"/>
  <c r="AE56" i="20"/>
  <c r="AE51" i="20" s="1"/>
  <c r="AC41" i="20"/>
  <c r="AC46" i="20" s="1"/>
  <c r="AD42" i="20"/>
  <c r="AC52" i="20"/>
  <c r="AC61" i="20"/>
  <c r="AB30" i="20"/>
  <c r="AC58" i="20"/>
  <c r="AC63" i="20" s="1"/>
  <c r="AD59" i="20"/>
  <c r="AA12" i="20"/>
  <c r="AO10" i="20"/>
  <c r="AO12" i="20" s="1"/>
  <c r="AB10" i="20"/>
  <c r="AB29" i="20"/>
  <c r="M56" i="19" l="1"/>
  <c r="M53" i="19"/>
  <c r="AC36" i="21"/>
  <c r="AC47" i="21"/>
  <c r="AC47" i="20"/>
  <c r="AC11" i="20"/>
  <c r="AC19" i="20"/>
  <c r="AC36" i="20"/>
  <c r="AD35" i="21"/>
  <c r="AD44" i="21"/>
  <c r="AB12" i="21"/>
  <c r="AD51" i="21"/>
  <c r="AE56" i="21"/>
  <c r="AE51" i="21" s="1"/>
  <c r="AE35" i="21"/>
  <c r="AE44" i="21"/>
  <c r="AD24" i="21"/>
  <c r="AE25" i="21"/>
  <c r="AE24" i="21" s="1"/>
  <c r="AC10" i="21"/>
  <c r="AC12" i="21" s="1"/>
  <c r="AC29" i="21"/>
  <c r="AC53" i="21"/>
  <c r="AC52" i="21"/>
  <c r="AC61" i="21"/>
  <c r="AC64" i="21" s="1"/>
  <c r="AD41" i="21"/>
  <c r="AD46" i="21" s="1"/>
  <c r="AE42" i="21"/>
  <c r="AE41" i="21" s="1"/>
  <c r="AE46" i="21" s="1"/>
  <c r="AB8" i="21"/>
  <c r="AB13" i="21"/>
  <c r="AB31" i="21" s="1"/>
  <c r="AB6" i="21"/>
  <c r="AB19" i="21"/>
  <c r="AB36" i="21"/>
  <c r="AE17" i="21"/>
  <c r="AE7" i="21"/>
  <c r="AB64" i="21"/>
  <c r="AC8" i="21"/>
  <c r="AC6" i="21"/>
  <c r="AA14" i="21"/>
  <c r="AO14" i="21"/>
  <c r="AO15" i="21" s="1"/>
  <c r="AA31" i="21"/>
  <c r="AD58" i="21"/>
  <c r="AE59" i="21"/>
  <c r="AE58" i="21" s="1"/>
  <c r="AD18" i="21"/>
  <c r="AD27" i="21"/>
  <c r="AA48" i="21"/>
  <c r="AC8" i="20"/>
  <c r="AC6" i="20"/>
  <c r="AE17" i="20"/>
  <c r="AE7" i="20"/>
  <c r="AD24" i="20"/>
  <c r="AE25" i="20"/>
  <c r="AE24" i="20" s="1"/>
  <c r="AD18" i="20"/>
  <c r="AD5" i="20"/>
  <c r="AD36" i="20" s="1"/>
  <c r="AD27" i="20"/>
  <c r="AD30" i="20" s="1"/>
  <c r="AC29" i="20"/>
  <c r="AC10" i="20"/>
  <c r="AC12" i="20" s="1"/>
  <c r="AB13" i="20"/>
  <c r="AB65" i="20" s="1"/>
  <c r="AB12" i="20"/>
  <c r="AE52" i="20"/>
  <c r="AE61" i="20"/>
  <c r="AE35" i="20"/>
  <c r="AE44" i="20"/>
  <c r="AD58" i="20"/>
  <c r="AD63" i="20" s="1"/>
  <c r="AE59" i="20"/>
  <c r="AE58" i="20" s="1"/>
  <c r="AE63" i="20" s="1"/>
  <c r="AC64" i="20"/>
  <c r="AD41" i="20"/>
  <c r="AD46" i="20" s="1"/>
  <c r="AE42" i="20"/>
  <c r="AE41" i="20" s="1"/>
  <c r="AE46" i="20" s="1"/>
  <c r="AD35" i="20"/>
  <c r="AD44" i="20"/>
  <c r="AD52" i="20"/>
  <c r="AD61" i="20"/>
  <c r="AC30" i="20"/>
  <c r="O165" i="9"/>
  <c r="M78" i="19" l="1"/>
  <c r="M54" i="19"/>
  <c r="AC11" i="21"/>
  <c r="AC13" i="21" s="1"/>
  <c r="AE63" i="21"/>
  <c r="AD47" i="21"/>
  <c r="AB65" i="21"/>
  <c r="AD64" i="20"/>
  <c r="AE64" i="20"/>
  <c r="AB31" i="20"/>
  <c r="AE18" i="21"/>
  <c r="AE27" i="21"/>
  <c r="AE30" i="21" s="1"/>
  <c r="AE5" i="21"/>
  <c r="AE19" i="21" s="1"/>
  <c r="AB48" i="21"/>
  <c r="AE29" i="21"/>
  <c r="AE10" i="21"/>
  <c r="AD29" i="21"/>
  <c r="AD10" i="21"/>
  <c r="AD63" i="21"/>
  <c r="AD52" i="21"/>
  <c r="AD61" i="21"/>
  <c r="AD64" i="21" s="1"/>
  <c r="AD5" i="21"/>
  <c r="AD53" i="21" s="1"/>
  <c r="AE47" i="21"/>
  <c r="AD11" i="21"/>
  <c r="AB14" i="21"/>
  <c r="AD30" i="21"/>
  <c r="AE52" i="21"/>
  <c r="AE61" i="21"/>
  <c r="AE64" i="21" s="1"/>
  <c r="AE47" i="20"/>
  <c r="AD11" i="20"/>
  <c r="AD6" i="20"/>
  <c r="AD8" i="20"/>
  <c r="AD9" i="20" s="1"/>
  <c r="AD47" i="20"/>
  <c r="AD19" i="20"/>
  <c r="AE29" i="20"/>
  <c r="AE10" i="20"/>
  <c r="AD10" i="20"/>
  <c r="AD29" i="20"/>
  <c r="AB14" i="20"/>
  <c r="AB48" i="20"/>
  <c r="AE18" i="20"/>
  <c r="AE5" i="20"/>
  <c r="AE19" i="20" s="1"/>
  <c r="AE27" i="20"/>
  <c r="AE11" i="20" s="1"/>
  <c r="AE30" i="20"/>
  <c r="AD53" i="20"/>
  <c r="AC13" i="20"/>
  <c r="AC31" i="20" s="1"/>
  <c r="P165" i="9"/>
  <c r="Q165" i="9" s="1"/>
  <c r="AE12" i="21" l="1"/>
  <c r="AE53" i="21"/>
  <c r="AD13" i="20"/>
  <c r="AD48" i="20" s="1"/>
  <c r="AE12" i="20"/>
  <c r="AP5" i="20"/>
  <c r="AP6" i="20" s="1"/>
  <c r="N14" i="18" s="1"/>
  <c r="N13" i="18" s="1"/>
  <c r="AP11" i="20"/>
  <c r="AD12" i="21"/>
  <c r="AP10" i="21"/>
  <c r="AP14" i="21" s="1"/>
  <c r="AD13" i="21"/>
  <c r="AD31" i="21" s="1"/>
  <c r="AD8" i="21"/>
  <c r="AD9" i="21" s="1"/>
  <c r="AD6" i="21"/>
  <c r="AD19" i="21"/>
  <c r="AD36" i="21"/>
  <c r="AE6" i="21"/>
  <c r="AE8" i="21"/>
  <c r="AE36" i="21"/>
  <c r="AC14" i="21"/>
  <c r="AC48" i="21"/>
  <c r="AC31" i="21"/>
  <c r="AC65" i="21"/>
  <c r="AE11" i="21"/>
  <c r="AP11" i="21" s="1"/>
  <c r="AE13" i="20"/>
  <c r="AE6" i="20"/>
  <c r="AE8" i="20"/>
  <c r="AE9" i="20" s="1"/>
  <c r="AE36" i="20"/>
  <c r="AE53" i="20"/>
  <c r="AC14" i="20"/>
  <c r="AC48" i="20"/>
  <c r="AD12" i="20"/>
  <c r="AP10" i="20"/>
  <c r="AC65" i="20"/>
  <c r="L152" i="9"/>
  <c r="K152" i="9"/>
  <c r="J152" i="9"/>
  <c r="I152" i="9"/>
  <c r="H152" i="9"/>
  <c r="G152" i="9"/>
  <c r="F152" i="9"/>
  <c r="E152" i="9"/>
  <c r="D152" i="9"/>
  <c r="L192" i="9"/>
  <c r="K192" i="9"/>
  <c r="J192" i="9"/>
  <c r="I192" i="9"/>
  <c r="H192" i="9"/>
  <c r="G192" i="9"/>
  <c r="F192" i="9"/>
  <c r="E192" i="9"/>
  <c r="D192" i="9"/>
  <c r="C192" i="9"/>
  <c r="C212" i="9"/>
  <c r="C350" i="9"/>
  <c r="O273" i="9"/>
  <c r="Q273" i="9" s="1"/>
  <c r="O330" i="9"/>
  <c r="Q290" i="9"/>
  <c r="P290" i="9"/>
  <c r="O290" i="9"/>
  <c r="N290" i="9"/>
  <c r="M290" i="9"/>
  <c r="M266" i="9"/>
  <c r="N266" i="9" s="1"/>
  <c r="M265" i="9"/>
  <c r="N265" i="9" s="1"/>
  <c r="M264" i="9"/>
  <c r="N264" i="9" s="1"/>
  <c r="M263" i="9"/>
  <c r="N263" i="9" s="1"/>
  <c r="Q123" i="9"/>
  <c r="P123" i="9"/>
  <c r="Q72" i="9"/>
  <c r="Q64" i="9"/>
  <c r="P64" i="9"/>
  <c r="L4" i="9"/>
  <c r="F14" i="14" a="1"/>
  <c r="AP13" i="21" l="1"/>
  <c r="AQ13" i="21" s="1"/>
  <c r="AE13" i="21"/>
  <c r="AP15" i="21" s="1"/>
  <c r="AD31" i="20"/>
  <c r="AD65" i="20"/>
  <c r="AD14" i="20"/>
  <c r="AP14" i="20"/>
  <c r="AP15" i="20" s="1"/>
  <c r="AQ5" i="20"/>
  <c r="AP12" i="20"/>
  <c r="AP13" i="20"/>
  <c r="AQ13" i="20" s="1"/>
  <c r="AE48" i="20"/>
  <c r="O13" i="18"/>
  <c r="N11" i="18"/>
  <c r="AQ5" i="21"/>
  <c r="AD14" i="21"/>
  <c r="AD48" i="21"/>
  <c r="AP12" i="21"/>
  <c r="AE9" i="21"/>
  <c r="AD65" i="21"/>
  <c r="AE14" i="20"/>
  <c r="AE65" i="20"/>
  <c r="AE31" i="20"/>
  <c r="O266" i="9"/>
  <c r="O265" i="9"/>
  <c r="O264" i="9"/>
  <c r="O263" i="9"/>
  <c r="F14" i="14"/>
  <c r="E14" i="14" a="1"/>
  <c r="AQ11" i="20" l="1"/>
  <c r="N57" i="18"/>
  <c r="N55" i="18" s="1"/>
  <c r="N56" i="18" s="1"/>
  <c r="AQ12" i="20"/>
  <c r="N57" i="19"/>
  <c r="AQ12" i="21"/>
  <c r="O57" i="19" s="1"/>
  <c r="P57" i="19" s="1"/>
  <c r="Q57" i="19" s="1"/>
  <c r="N14" i="19"/>
  <c r="N13" i="19" s="1"/>
  <c r="AE65" i="21"/>
  <c r="AE48" i="21"/>
  <c r="AE14" i="21"/>
  <c r="AE31" i="21"/>
  <c r="N28" i="18"/>
  <c r="N158" i="18"/>
  <c r="N187" i="18"/>
  <c r="N164" i="18"/>
  <c r="N62" i="18"/>
  <c r="N184" i="18"/>
  <c r="N12" i="18"/>
  <c r="N191" i="18"/>
  <c r="N155" i="18"/>
  <c r="N71" i="18"/>
  <c r="N68" i="18"/>
  <c r="P13" i="18"/>
  <c r="O11" i="18"/>
  <c r="AQ11" i="21"/>
  <c r="P266" i="9"/>
  <c r="P265" i="9"/>
  <c r="Q265" i="9" s="1"/>
  <c r="P264" i="9"/>
  <c r="Q264" i="9" s="1"/>
  <c r="P263" i="9"/>
  <c r="Q263" i="9" s="1"/>
  <c r="E14" i="14"/>
  <c r="D14" i="14" a="1"/>
  <c r="N53" i="18" l="1"/>
  <c r="N78" i="18" s="1"/>
  <c r="O57" i="18"/>
  <c r="AQ10" i="20"/>
  <c r="AQ14" i="20" s="1"/>
  <c r="AQ15" i="20" s="1"/>
  <c r="AQ10" i="21"/>
  <c r="AQ14" i="21" s="1"/>
  <c r="AQ15" i="21" s="1"/>
  <c r="O13" i="19"/>
  <c r="O55" i="19" s="1"/>
  <c r="N11" i="19"/>
  <c r="N187" i="19" s="1"/>
  <c r="N55" i="19"/>
  <c r="N53" i="19" s="1"/>
  <c r="N54" i="19" s="1"/>
  <c r="Q13" i="18"/>
  <c r="P11" i="18"/>
  <c r="O164" i="18"/>
  <c r="O191" i="18"/>
  <c r="O184" i="18"/>
  <c r="O187" i="18"/>
  <c r="O68" i="18"/>
  <c r="O12" i="18"/>
  <c r="O28" i="18"/>
  <c r="O158" i="18"/>
  <c r="O62" i="18"/>
  <c r="O71" i="18"/>
  <c r="O155" i="18"/>
  <c r="Q266" i="9"/>
  <c r="D14" i="14"/>
  <c r="C14" i="14" a="1"/>
  <c r="N54" i="18" l="1"/>
  <c r="P57" i="18"/>
  <c r="O55" i="18"/>
  <c r="N56" i="19"/>
  <c r="N158" i="19"/>
  <c r="N62" i="19"/>
  <c r="N71" i="19"/>
  <c r="N78" i="19"/>
  <c r="N155" i="19"/>
  <c r="N28" i="19"/>
  <c r="N12" i="19"/>
  <c r="O11" i="19"/>
  <c r="O71" i="19" s="1"/>
  <c r="P13" i="19"/>
  <c r="P11" i="19" s="1"/>
  <c r="N164" i="19"/>
  <c r="N184" i="19"/>
  <c r="N191" i="19"/>
  <c r="N68" i="19"/>
  <c r="O53" i="19"/>
  <c r="O56" i="19"/>
  <c r="P164" i="18"/>
  <c r="P12" i="18"/>
  <c r="P62" i="18"/>
  <c r="P68" i="18"/>
  <c r="P187" i="18"/>
  <c r="P191" i="18"/>
  <c r="P184" i="18"/>
  <c r="P71" i="18"/>
  <c r="P155" i="18"/>
  <c r="P28" i="18"/>
  <c r="P158" i="18"/>
  <c r="Q11" i="18"/>
  <c r="C14" i="14"/>
  <c r="F10" i="14" a="1"/>
  <c r="O56" i="18" l="1"/>
  <c r="O53" i="18"/>
  <c r="Q57" i="18"/>
  <c r="Q55" i="18" s="1"/>
  <c r="Q53" i="18" s="1"/>
  <c r="P55" i="18"/>
  <c r="O164" i="19"/>
  <c r="Q13" i="19"/>
  <c r="Q11" i="19" s="1"/>
  <c r="P55" i="19"/>
  <c r="O155" i="19"/>
  <c r="O68" i="19"/>
  <c r="O158" i="19"/>
  <c r="O12" i="19"/>
  <c r="O28" i="19"/>
  <c r="O184" i="19"/>
  <c r="O191" i="19"/>
  <c r="O187" i="19"/>
  <c r="O62" i="19"/>
  <c r="P53" i="19"/>
  <c r="P56" i="19"/>
  <c r="O54" i="19"/>
  <c r="O78" i="19"/>
  <c r="Q55" i="19"/>
  <c r="P12" i="19"/>
  <c r="P62" i="19"/>
  <c r="P68" i="19"/>
  <c r="P28" i="19"/>
  <c r="P187" i="19"/>
  <c r="P164" i="19"/>
  <c r="P155" i="19"/>
  <c r="P71" i="19"/>
  <c r="P191" i="19"/>
  <c r="P158" i="19"/>
  <c r="P184" i="19"/>
  <c r="Q71" i="18"/>
  <c r="Q68" i="18"/>
  <c r="Q187" i="18"/>
  <c r="Q155" i="18"/>
  <c r="Q28" i="18"/>
  <c r="Q62" i="18"/>
  <c r="Q164" i="18"/>
  <c r="Q158" i="18"/>
  <c r="Q184" i="18"/>
  <c r="Q12" i="18"/>
  <c r="Q191" i="18"/>
  <c r="F10" i="14"/>
  <c r="E10" i="14" a="1"/>
  <c r="Q56" i="18" l="1"/>
  <c r="P53" i="18"/>
  <c r="P56" i="18"/>
  <c r="O54" i="18"/>
  <c r="O78" i="18"/>
  <c r="Q28" i="19"/>
  <c r="Q158" i="19"/>
  <c r="Q164" i="19"/>
  <c r="Q191" i="19"/>
  <c r="Q184" i="19"/>
  <c r="Q187" i="19"/>
  <c r="Q155" i="19"/>
  <c r="Q71" i="19"/>
  <c r="Q12" i="19"/>
  <c r="Q62" i="19"/>
  <c r="Q68" i="19"/>
  <c r="Q56" i="19"/>
  <c r="Q53" i="19"/>
  <c r="P54" i="19"/>
  <c r="P78" i="19"/>
  <c r="Q78" i="18"/>
  <c r="Q54" i="18"/>
  <c r="E10" i="14"/>
  <c r="D10" i="14" a="1"/>
  <c r="P78" i="18" l="1"/>
  <c r="P54" i="18"/>
  <c r="Q54" i="19"/>
  <c r="Q78" i="19"/>
  <c r="D10" i="14"/>
  <c r="C10" i="14" a="1"/>
  <c r="C10" i="14" l="1"/>
  <c r="F8" i="14" a="1"/>
  <c r="F8" i="14" l="1"/>
  <c r="E8" i="14" a="1"/>
  <c r="E8" i="14" l="1"/>
  <c r="D8" i="14" a="1"/>
  <c r="D8" i="14" l="1"/>
  <c r="C8" i="14" a="1"/>
  <c r="C8" i="14" l="1"/>
  <c r="F7" i="14" a="1"/>
  <c r="F7" i="14" l="1"/>
  <c r="E7" i="14" a="1"/>
  <c r="E7" i="14" l="1"/>
  <c r="D7" i="14" a="1"/>
  <c r="D7" i="14" l="1"/>
  <c r="C7" i="14" a="1"/>
  <c r="C7" i="14" l="1"/>
  <c r="E3" i="14" a="1"/>
  <c r="E3" i="14" l="1"/>
  <c r="E2" i="14" a="1"/>
  <c r="E2" i="14" l="1"/>
  <c r="AB317" i="9" a="1"/>
  <c r="AB317" i="9" l="1"/>
  <c r="AB316" i="9" a="1"/>
  <c r="AB316" i="9" l="1"/>
  <c r="AB315" i="9" a="1"/>
  <c r="AB315" i="9" l="1"/>
  <c r="AB312" i="9" a="1"/>
  <c r="AB312" i="9" l="1"/>
  <c r="AB307" i="9" a="1"/>
  <c r="AB307" i="9" l="1"/>
  <c r="AB298" i="9" a="1"/>
  <c r="AB298" i="9" l="1"/>
  <c r="AB288" i="9" a="1"/>
  <c r="AB288" i="9" l="1"/>
  <c r="AB283" i="9" a="1"/>
  <c r="AB283" i="9" l="1"/>
  <c r="AB257" i="9" a="1"/>
  <c r="AB257" i="9" l="1"/>
  <c r="Y115" i="9" a="1"/>
  <c r="Y115" i="9" l="1"/>
  <c r="Z7" i="9" a="1"/>
  <c r="Z7" i="9" l="1"/>
  <c r="Y7" i="9" a="1"/>
  <c r="Y7" i="9" l="1"/>
  <c r="X7" i="9" a="1"/>
  <c r="X7" i="9" l="1"/>
  <c r="L7" i="9" a="1"/>
  <c r="L7" i="9" l="1"/>
  <c r="L3" i="9" s="1"/>
  <c r="M4" i="9" s="1"/>
  <c r="N4" i="9" s="1"/>
  <c r="L254" i="9" a="1"/>
  <c r="K7" i="9" a="1"/>
  <c r="K7" i="9" l="1"/>
  <c r="L254" i="9"/>
  <c r="J7" i="9" a="1"/>
  <c r="K254" i="9" a="1"/>
  <c r="J7" i="9" l="1"/>
  <c r="K254" i="9"/>
  <c r="I7" i="9" a="1"/>
  <c r="J254" i="9" a="1"/>
  <c r="I7" i="9" l="1"/>
  <c r="J254" i="9"/>
  <c r="H7" i="9" a="1"/>
  <c r="I254" i="9" a="1"/>
  <c r="H7" i="9" l="1"/>
  <c r="I254" i="9"/>
  <c r="G7" i="9" a="1"/>
  <c r="H254" i="9" a="1"/>
  <c r="G7" i="9" l="1"/>
  <c r="H254" i="9"/>
  <c r="F7" i="9" a="1"/>
  <c r="G254" i="9" a="1"/>
  <c r="F7" i="9" l="1"/>
  <c r="G254" i="9"/>
  <c r="E7" i="9" a="1"/>
  <c r="F254" i="9" a="1"/>
  <c r="E7" i="9" l="1"/>
  <c r="F254" i="9"/>
  <c r="D7" i="9" a="1"/>
  <c r="E254" i="9" a="1"/>
  <c r="D7" i="9" l="1"/>
  <c r="E254" i="9"/>
  <c r="C7" i="9" a="1"/>
  <c r="D254" i="9" a="1"/>
  <c r="C7" i="9" l="1"/>
  <c r="D254" i="9"/>
  <c r="B7" i="9" a="1"/>
  <c r="A4" i="9"/>
  <c r="C254" i="9" a="1"/>
  <c r="B7" i="9" l="1"/>
  <c r="C254" i="9"/>
  <c r="F5" i="14"/>
  <c r="E5" i="14"/>
  <c r="D5" i="14"/>
  <c r="L79" i="9"/>
  <c r="K79" i="9"/>
  <c r="J79" i="9"/>
  <c r="I79" i="9"/>
  <c r="H79" i="9"/>
  <c r="G79" i="9"/>
  <c r="F79" i="9"/>
  <c r="E79" i="9"/>
  <c r="D79" i="9"/>
  <c r="L78" i="9"/>
  <c r="K78" i="9"/>
  <c r="J78" i="9"/>
  <c r="I78" i="9"/>
  <c r="H78" i="9"/>
  <c r="G78" i="9"/>
  <c r="F78" i="9"/>
  <c r="E78" i="9"/>
  <c r="D78" i="9"/>
  <c r="B254" i="9" a="1"/>
  <c r="K80" i="9" l="1"/>
  <c r="H80" i="9"/>
  <c r="G80" i="9"/>
  <c r="B254" i="9"/>
  <c r="F22" i="14"/>
  <c r="F24" i="14" s="1"/>
  <c r="F9" i="14"/>
  <c r="F11" i="14" s="1"/>
  <c r="C22" i="14"/>
  <c r="D22" i="14"/>
  <c r="D24" i="14" s="1"/>
  <c r="E22" i="14"/>
  <c r="E24" i="14" s="1"/>
  <c r="E80" i="9"/>
  <c r="L80" i="9"/>
  <c r="F80" i="9"/>
  <c r="I80" i="9"/>
  <c r="J80" i="9"/>
  <c r="D80" i="9"/>
  <c r="F25" i="14" l="1"/>
  <c r="C18" i="14"/>
  <c r="C15" i="14"/>
  <c r="E15" i="14"/>
  <c r="D9" i="14"/>
  <c r="D11" i="14" s="1"/>
  <c r="C9" i="14"/>
  <c r="C11" i="14" s="1"/>
  <c r="C23" i="14" s="1"/>
  <c r="C24" i="14" s="1"/>
  <c r="C25" i="14" s="1"/>
  <c r="F15" i="14"/>
  <c r="D15" i="14"/>
  <c r="E9" i="14"/>
  <c r="E11" i="14" s="1"/>
  <c r="D25" i="14" l="1"/>
  <c r="C19" i="14"/>
  <c r="C27" i="14"/>
  <c r="C28" i="14" s="1"/>
  <c r="E25" i="14"/>
  <c r="Y65" i="12" l="1"/>
  <c r="X65" i="12"/>
  <c r="W65" i="12"/>
  <c r="V65" i="12"/>
  <c r="U65" i="12"/>
  <c r="T65" i="12"/>
  <c r="S65" i="12"/>
  <c r="R65" i="12"/>
  <c r="Q65" i="12"/>
  <c r="P65" i="12"/>
  <c r="O65" i="12"/>
  <c r="N65" i="12"/>
  <c r="M65" i="12"/>
  <c r="L65" i="12"/>
  <c r="K65" i="12"/>
  <c r="J65" i="12"/>
  <c r="I65" i="12"/>
  <c r="H65" i="12"/>
  <c r="AN13" i="12"/>
  <c r="AM13" i="12"/>
  <c r="AL13" i="12"/>
  <c r="AK13" i="12"/>
  <c r="Z46" i="12" l="1"/>
  <c r="Y46" i="12"/>
  <c r="Y8" i="12"/>
  <c r="Z10" i="12"/>
  <c r="Y10" i="12"/>
  <c r="W64" i="12"/>
  <c r="V64" i="12"/>
  <c r="U64" i="12"/>
  <c r="T64" i="12"/>
  <c r="S64" i="12"/>
  <c r="R64" i="12"/>
  <c r="Q64" i="12"/>
  <c r="P64" i="12"/>
  <c r="O64" i="12"/>
  <c r="N64" i="12"/>
  <c r="M64" i="12"/>
  <c r="L64" i="12"/>
  <c r="K64" i="12"/>
  <c r="J64" i="12"/>
  <c r="I64" i="12"/>
  <c r="Z53" i="12"/>
  <c r="Y53" i="12"/>
  <c r="X53" i="12"/>
  <c r="W53" i="12"/>
  <c r="V53" i="12"/>
  <c r="U53" i="12"/>
  <c r="T53" i="12"/>
  <c r="S53" i="12"/>
  <c r="R53" i="12"/>
  <c r="Q53" i="12"/>
  <c r="P53" i="12"/>
  <c r="O53" i="12"/>
  <c r="N53" i="12"/>
  <c r="M53" i="12"/>
  <c r="L53" i="12"/>
  <c r="K53" i="12"/>
  <c r="J53" i="12"/>
  <c r="I53" i="12"/>
  <c r="H53" i="12"/>
  <c r="Z36" i="12"/>
  <c r="Y36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L19" i="12"/>
  <c r="Z52" i="12"/>
  <c r="Y52" i="12"/>
  <c r="X52" i="12"/>
  <c r="W52" i="12"/>
  <c r="V52" i="12"/>
  <c r="U52" i="12"/>
  <c r="T52" i="12"/>
  <c r="S52" i="12"/>
  <c r="R52" i="12"/>
  <c r="Q52" i="12"/>
  <c r="P52" i="12"/>
  <c r="O52" i="12"/>
  <c r="N52" i="12"/>
  <c r="M52" i="12"/>
  <c r="L52" i="12"/>
  <c r="K52" i="12"/>
  <c r="J52" i="12"/>
  <c r="I52" i="12"/>
  <c r="AA45" i="12"/>
  <c r="Z18" i="12"/>
  <c r="Y18" i="12"/>
  <c r="X18" i="12"/>
  <c r="W18" i="12"/>
  <c r="V18" i="12"/>
  <c r="U18" i="12"/>
  <c r="T18" i="12"/>
  <c r="S18" i="12"/>
  <c r="R18" i="12"/>
  <c r="Q18" i="12"/>
  <c r="N18" i="12"/>
  <c r="M18" i="12"/>
  <c r="L18" i="12"/>
  <c r="K18" i="12"/>
  <c r="J18" i="12"/>
  <c r="I18" i="12"/>
  <c r="O27" i="12"/>
  <c r="O24" i="12"/>
  <c r="O17" i="12"/>
  <c r="P18" i="12" s="1"/>
  <c r="N30" i="12"/>
  <c r="M30" i="12"/>
  <c r="L30" i="12"/>
  <c r="K30" i="12"/>
  <c r="Y12" i="12" l="1"/>
  <c r="Z12" i="12"/>
  <c r="O18" i="12"/>
  <c r="O28" i="12"/>
  <c r="O30" i="12"/>
  <c r="N195" i="9" l="1"/>
  <c r="O195" i="9" s="1"/>
  <c r="P195" i="9" s="1"/>
  <c r="Q195" i="9" s="1"/>
  <c r="H64" i="12"/>
  <c r="AN10" i="12"/>
  <c r="AN11" i="12"/>
  <c r="AN14" i="12"/>
  <c r="AM10" i="12"/>
  <c r="AM12" i="12" s="1"/>
  <c r="AM11" i="12"/>
  <c r="AM14" i="12"/>
  <c r="AL10" i="12"/>
  <c r="AL11" i="12"/>
  <c r="AL14" i="12"/>
  <c r="AK10" i="12"/>
  <c r="AK11" i="12"/>
  <c r="AK14" i="12"/>
  <c r="AM5" i="12"/>
  <c r="AL5" i="12"/>
  <c r="AN5" i="12"/>
  <c r="AK5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H19" i="12"/>
  <c r="I19" i="12"/>
  <c r="J19" i="12"/>
  <c r="K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Y20" i="12" s="1"/>
  <c r="Z19" i="12"/>
  <c r="M200" i="9"/>
  <c r="M194" i="9"/>
  <c r="M190" i="9"/>
  <c r="L188" i="9"/>
  <c r="K188" i="9"/>
  <c r="J188" i="9"/>
  <c r="I188" i="9"/>
  <c r="H188" i="9"/>
  <c r="G188" i="9"/>
  <c r="F188" i="9"/>
  <c r="E188" i="9"/>
  <c r="D188" i="9"/>
  <c r="C188" i="9"/>
  <c r="C185" i="9"/>
  <c r="L185" i="9"/>
  <c r="K185" i="9"/>
  <c r="J185" i="9"/>
  <c r="I185" i="9"/>
  <c r="H185" i="9"/>
  <c r="G185" i="9"/>
  <c r="F185" i="9"/>
  <c r="E185" i="9"/>
  <c r="D185" i="9"/>
  <c r="L162" i="9"/>
  <c r="K162" i="9"/>
  <c r="J162" i="9"/>
  <c r="I162" i="9"/>
  <c r="H162" i="9"/>
  <c r="G162" i="9"/>
  <c r="F162" i="9"/>
  <c r="E162" i="9"/>
  <c r="D162" i="9"/>
  <c r="C162" i="9"/>
  <c r="N153" i="9"/>
  <c r="O153" i="9" s="1"/>
  <c r="P153" i="9" s="1"/>
  <c r="Q153" i="9" s="1"/>
  <c r="L159" i="9"/>
  <c r="K159" i="9"/>
  <c r="J159" i="9"/>
  <c r="I159" i="9"/>
  <c r="H159" i="9"/>
  <c r="G159" i="9"/>
  <c r="F159" i="9"/>
  <c r="E159" i="9"/>
  <c r="D159" i="9"/>
  <c r="C159" i="9"/>
  <c r="L156" i="9"/>
  <c r="K156" i="9"/>
  <c r="J156" i="9"/>
  <c r="I156" i="9"/>
  <c r="H156" i="9"/>
  <c r="G156" i="9"/>
  <c r="F156" i="9"/>
  <c r="E156" i="9"/>
  <c r="D156" i="9"/>
  <c r="C156" i="9"/>
  <c r="M162" i="9" l="1"/>
  <c r="N159" i="9"/>
  <c r="N190" i="9"/>
  <c r="O190" i="9" s="1"/>
  <c r="P190" i="9" s="1"/>
  <c r="Q190" i="9" s="1"/>
  <c r="N194" i="9"/>
  <c r="O194" i="9" s="1"/>
  <c r="P194" i="9" s="1"/>
  <c r="N200" i="9"/>
  <c r="O200" i="9" s="1"/>
  <c r="P200" i="9" s="1"/>
  <c r="Q200" i="9" s="1"/>
  <c r="AN12" i="12"/>
  <c r="AL12" i="12"/>
  <c r="AM15" i="12"/>
  <c r="AL6" i="12"/>
  <c r="AM6" i="12"/>
  <c r="AK12" i="12"/>
  <c r="AL15" i="12"/>
  <c r="AN15" i="12"/>
  <c r="AN6" i="12"/>
  <c r="M156" i="9"/>
  <c r="P162" i="9" l="1"/>
  <c r="Q194" i="9"/>
  <c r="O156" i="9"/>
  <c r="P156" i="9" s="1"/>
  <c r="Q162" i="9" l="1"/>
  <c r="Q156" i="9"/>
  <c r="N99" i="9"/>
  <c r="O99" i="9" s="1"/>
  <c r="P99" i="9" s="1"/>
  <c r="Q99" i="9" s="1"/>
  <c r="N64" i="9"/>
  <c r="N103" i="9"/>
  <c r="N123" i="9"/>
  <c r="L72" i="9"/>
  <c r="K72" i="9"/>
  <c r="J72" i="9"/>
  <c r="I72" i="9"/>
  <c r="H72" i="9"/>
  <c r="G72" i="9"/>
  <c r="F72" i="9"/>
  <c r="E72" i="9"/>
  <c r="D72" i="9"/>
  <c r="C72" i="9"/>
  <c r="L69" i="9"/>
  <c r="K69" i="9"/>
  <c r="J69" i="9"/>
  <c r="I69" i="9"/>
  <c r="H69" i="9"/>
  <c r="G69" i="9"/>
  <c r="F69" i="9"/>
  <c r="E69" i="9"/>
  <c r="D69" i="9"/>
  <c r="C69" i="9"/>
  <c r="L63" i="9"/>
  <c r="I54" i="9"/>
  <c r="L54" i="9"/>
  <c r="K54" i="9"/>
  <c r="J54" i="9"/>
  <c r="H54" i="9"/>
  <c r="G54" i="9"/>
  <c r="F54" i="9"/>
  <c r="E54" i="9"/>
  <c r="D54" i="9"/>
  <c r="L30" i="9"/>
  <c r="K30" i="9"/>
  <c r="J30" i="9"/>
  <c r="I30" i="9"/>
  <c r="H30" i="9"/>
  <c r="G30" i="9"/>
  <c r="F30" i="9"/>
  <c r="E30" i="9"/>
  <c r="D30" i="9"/>
  <c r="C30" i="9"/>
  <c r="L24" i="9"/>
  <c r="M24" i="9" s="1"/>
  <c r="K24" i="9"/>
  <c r="J24" i="9"/>
  <c r="I24" i="9"/>
  <c r="H24" i="9"/>
  <c r="G24" i="9"/>
  <c r="F24" i="9"/>
  <c r="E24" i="9"/>
  <c r="D24" i="9"/>
  <c r="C24" i="9"/>
  <c r="M30" i="9" l="1"/>
  <c r="N30" i="9" s="1"/>
  <c r="O30" i="9" s="1"/>
  <c r="P30" i="9" s="1"/>
  <c r="L25" i="9"/>
  <c r="M25" i="9"/>
  <c r="N72" i="9"/>
  <c r="O72" i="9" s="1"/>
  <c r="F25" i="9"/>
  <c r="G25" i="9"/>
  <c r="I25" i="9"/>
  <c r="H25" i="9"/>
  <c r="J25" i="9"/>
  <c r="D25" i="9"/>
  <c r="K25" i="9"/>
  <c r="E25" i="9"/>
  <c r="Q30" i="9" l="1"/>
  <c r="X10" i="12"/>
  <c r="Z61" i="12"/>
  <c r="Z64" i="12" s="1"/>
  <c r="Y61" i="12"/>
  <c r="Y64" i="12" s="1"/>
  <c r="X61" i="12"/>
  <c r="X64" i="12" s="1"/>
  <c r="X63" i="12"/>
  <c r="Z44" i="12"/>
  <c r="Z47" i="12" s="1"/>
  <c r="Y44" i="12"/>
  <c r="Y47" i="12" s="1"/>
  <c r="X44" i="12"/>
  <c r="X47" i="12" s="1"/>
  <c r="X27" i="12"/>
  <c r="X30" i="12" s="1"/>
  <c r="Y27" i="12"/>
  <c r="Z27" i="12"/>
  <c r="Z11" i="12" s="1"/>
  <c r="Z13" i="12" s="1"/>
  <c r="Z65" i="12" s="1"/>
  <c r="X46" i="12"/>
  <c r="C321" i="9"/>
  <c r="B321" i="9"/>
  <c r="B315" i="9"/>
  <c r="B316" i="9" s="1"/>
  <c r="B313" i="9"/>
  <c r="Q334" i="9" l="1"/>
  <c r="O334" i="9"/>
  <c r="N334" i="9"/>
  <c r="P334" i="9"/>
  <c r="Y30" i="12"/>
  <c r="Y31" i="12" s="1"/>
  <c r="Y11" i="12"/>
  <c r="Y13" i="12" s="1"/>
  <c r="Z48" i="12"/>
  <c r="Z30" i="12"/>
  <c r="Z31" i="12" s="1"/>
  <c r="X11" i="12"/>
  <c r="X13" i="12" s="1"/>
  <c r="X31" i="12" s="1"/>
  <c r="Y48" i="12"/>
  <c r="X12" i="12"/>
  <c r="M334" i="9"/>
  <c r="P354" i="9" l="1"/>
  <c r="P355" i="9" s="1"/>
  <c r="N354" i="9"/>
  <c r="O354" i="9"/>
  <c r="O355" i="9" s="1"/>
  <c r="Q354" i="9"/>
  <c r="Q355" i="9" s="1"/>
  <c r="M354" i="9"/>
  <c r="M355" i="9" s="1"/>
  <c r="Y14" i="12"/>
  <c r="X48" i="12"/>
  <c r="X14" i="12"/>
  <c r="Z14" i="12"/>
  <c r="N355" i="9" l="1"/>
  <c r="C260" i="9"/>
  <c r="B259" i="9"/>
  <c r="L12" i="9" l="1"/>
  <c r="L29" i="9"/>
  <c r="K29" i="9"/>
  <c r="J29" i="9"/>
  <c r="I29" i="9"/>
  <c r="H29" i="9"/>
  <c r="G29" i="9"/>
  <c r="F29" i="9"/>
  <c r="E29" i="9"/>
  <c r="D29" i="9"/>
  <c r="D6" i="13" l="1"/>
  <c r="B11" i="11"/>
  <c r="B9" i="11"/>
  <c r="B10" i="11"/>
  <c r="O123" i="9"/>
  <c r="O103" i="9"/>
  <c r="P103" i="9" s="1"/>
  <c r="Q103" i="9" s="1"/>
  <c r="L76" i="9"/>
  <c r="K76" i="9"/>
  <c r="J76" i="9"/>
  <c r="I76" i="9"/>
  <c r="H76" i="9"/>
  <c r="G76" i="9"/>
  <c r="F76" i="9"/>
  <c r="E76" i="9"/>
  <c r="D76" i="9"/>
  <c r="C76" i="9"/>
  <c r="O64" i="9"/>
  <c r="M64" i="9"/>
  <c r="K63" i="9"/>
  <c r="J63" i="9"/>
  <c r="I63" i="9"/>
  <c r="H63" i="9"/>
  <c r="G63" i="9"/>
  <c r="F63" i="9"/>
  <c r="E63" i="9"/>
  <c r="D63" i="9"/>
  <c r="C63" i="9"/>
  <c r="J11" i="13" a="1"/>
  <c r="D5" i="13" a="1"/>
  <c r="J8" i="13" a="1"/>
  <c r="J12" i="13" a="1"/>
  <c r="D12" i="13" a="1"/>
  <c r="F7" i="13" a="1"/>
  <c r="D7" i="13" a="1"/>
  <c r="D11" i="13" a="1"/>
  <c r="J6" i="13" a="1"/>
  <c r="D10" i="13" a="1"/>
  <c r="D13" i="13" a="1"/>
  <c r="D14" i="13" a="1"/>
  <c r="J7" i="13" a="1"/>
  <c r="G7" i="13" a="1"/>
  <c r="G7" i="13" l="1"/>
  <c r="J7" i="13"/>
  <c r="D14" i="13"/>
  <c r="D13" i="13"/>
  <c r="D10" i="13"/>
  <c r="J6" i="13"/>
  <c r="D11" i="13"/>
  <c r="D7" i="13"/>
  <c r="F7" i="13"/>
  <c r="D12" i="13"/>
  <c r="J12" i="13"/>
  <c r="J8" i="13"/>
  <c r="D5" i="13"/>
  <c r="J11" i="13"/>
  <c r="O60" i="9"/>
  <c r="P60" i="9" s="1"/>
  <c r="Q60" i="9" s="1"/>
  <c r="D64" i="9"/>
  <c r="K64" i="9"/>
  <c r="F64" i="9"/>
  <c r="G64" i="9"/>
  <c r="H64" i="9"/>
  <c r="I64" i="9"/>
  <c r="J64" i="9"/>
  <c r="E64" i="9"/>
  <c r="L64" i="9"/>
  <c r="B207" i="9" l="1"/>
  <c r="I55" i="9" l="1"/>
  <c r="I58" i="9" s="1"/>
  <c r="I60" i="9" s="1"/>
  <c r="L55" i="9"/>
  <c r="K55" i="9"/>
  <c r="J55" i="9"/>
  <c r="M19" i="9"/>
  <c r="M17" i="9"/>
  <c r="N17" i="9" s="1"/>
  <c r="M15" i="9"/>
  <c r="N15" i="9" s="1"/>
  <c r="L23" i="9"/>
  <c r="K23" i="9"/>
  <c r="J23" i="9"/>
  <c r="I23" i="9"/>
  <c r="H23" i="9"/>
  <c r="G23" i="9"/>
  <c r="F23" i="9"/>
  <c r="E23" i="9"/>
  <c r="D23" i="9"/>
  <c r="L20" i="9"/>
  <c r="K20" i="9"/>
  <c r="J20" i="9"/>
  <c r="I20" i="9"/>
  <c r="H20" i="9"/>
  <c r="G20" i="9"/>
  <c r="F20" i="9"/>
  <c r="E20" i="9"/>
  <c r="D20" i="9"/>
  <c r="L18" i="9"/>
  <c r="K18" i="9"/>
  <c r="J18" i="9"/>
  <c r="I18" i="9"/>
  <c r="H18" i="9"/>
  <c r="G18" i="9"/>
  <c r="F18" i="9"/>
  <c r="E18" i="9"/>
  <c r="D18" i="9"/>
  <c r="D16" i="9"/>
  <c r="L16" i="9"/>
  <c r="K16" i="9"/>
  <c r="J16" i="9"/>
  <c r="I16" i="9"/>
  <c r="H16" i="9"/>
  <c r="G16" i="9"/>
  <c r="F16" i="9"/>
  <c r="E16" i="9"/>
  <c r="K12" i="9"/>
  <c r="J12" i="9"/>
  <c r="I12" i="9"/>
  <c r="H12" i="9"/>
  <c r="G12" i="9"/>
  <c r="F12" i="9"/>
  <c r="E12" i="9"/>
  <c r="D12" i="9"/>
  <c r="L37" i="9"/>
  <c r="L65" i="9" s="1"/>
  <c r="K37" i="9"/>
  <c r="J37" i="9"/>
  <c r="I37" i="9"/>
  <c r="H37" i="9"/>
  <c r="H75" i="9" s="1"/>
  <c r="G37" i="9"/>
  <c r="F37" i="9"/>
  <c r="F75" i="9" s="1"/>
  <c r="E37" i="9"/>
  <c r="D37" i="9"/>
  <c r="C37" i="9"/>
  <c r="L14" i="9"/>
  <c r="K14" i="9"/>
  <c r="J14" i="9"/>
  <c r="I14" i="9"/>
  <c r="H14" i="9"/>
  <c r="G14" i="9"/>
  <c r="F14" i="9"/>
  <c r="E14" i="9"/>
  <c r="D14" i="9"/>
  <c r="N19" i="9" l="1"/>
  <c r="N58" i="9" s="1"/>
  <c r="M58" i="9"/>
  <c r="O15" i="9"/>
  <c r="P15" i="9" s="1"/>
  <c r="K65" i="9"/>
  <c r="K75" i="9"/>
  <c r="L75" i="9"/>
  <c r="C65" i="9"/>
  <c r="C75" i="9"/>
  <c r="D65" i="9"/>
  <c r="D75" i="9"/>
  <c r="E65" i="9"/>
  <c r="E75" i="9"/>
  <c r="I65" i="9"/>
  <c r="I75" i="9"/>
  <c r="J65" i="9"/>
  <c r="J75" i="9"/>
  <c r="G65" i="9"/>
  <c r="G75" i="9"/>
  <c r="H38" i="9"/>
  <c r="H65" i="9"/>
  <c r="F38" i="9"/>
  <c r="F65" i="9"/>
  <c r="G38" i="9"/>
  <c r="E38" i="9"/>
  <c r="L38" i="9"/>
  <c r="D38" i="9"/>
  <c r="J58" i="9"/>
  <c r="J56" i="9"/>
  <c r="K58" i="9"/>
  <c r="K56" i="9"/>
  <c r="I38" i="9"/>
  <c r="K38" i="9"/>
  <c r="L58" i="9"/>
  <c r="L56" i="9"/>
  <c r="J38" i="9"/>
  <c r="L87" i="9"/>
  <c r="K87" i="9"/>
  <c r="J87" i="9"/>
  <c r="I87" i="9"/>
  <c r="H87" i="9"/>
  <c r="G87" i="9"/>
  <c r="F87" i="9"/>
  <c r="E87" i="9"/>
  <c r="D87" i="9"/>
  <c r="C87" i="9"/>
  <c r="Q15" i="9" l="1"/>
  <c r="N59" i="9"/>
  <c r="O19" i="9"/>
  <c r="P19" i="9" s="1"/>
  <c r="Q19" i="9" s="1"/>
  <c r="K60" i="9"/>
  <c r="K59" i="9"/>
  <c r="J60" i="9"/>
  <c r="J59" i="9"/>
  <c r="L60" i="9"/>
  <c r="L59" i="9"/>
  <c r="M59" i="9"/>
  <c r="G66" i="9"/>
  <c r="K66" i="9"/>
  <c r="E66" i="9"/>
  <c r="H66" i="9"/>
  <c r="L66" i="9"/>
  <c r="I66" i="9"/>
  <c r="D66" i="9"/>
  <c r="O17" i="9"/>
  <c r="P17" i="9" s="1"/>
  <c r="Q17" i="9" s="1"/>
  <c r="J66" i="9"/>
  <c r="F66" i="9"/>
  <c r="P58" i="9" l="1"/>
  <c r="Q58" i="9"/>
  <c r="Q59" i="9" s="1"/>
  <c r="O58" i="9"/>
  <c r="O59" i="9" l="1"/>
  <c r="P59" i="9"/>
  <c r="H1" i="10"/>
  <c r="H1" i="8"/>
  <c r="B74" i="9" l="1"/>
  <c r="B68" i="9"/>
  <c r="B62" i="9"/>
  <c r="B87" i="9" l="1"/>
  <c r="B37" i="9"/>
  <c r="B208" i="9" s="1"/>
  <c r="F2" i="8" l="1"/>
  <c r="C2" i="9" l="1"/>
  <c r="B2" i="9" l="1"/>
  <c r="A92" i="9" s="1"/>
  <c r="A89" i="9" l="1"/>
  <c r="A49" i="9"/>
  <c r="A46" i="9" s="1"/>
  <c r="A1" i="10"/>
  <c r="A1" i="8"/>
  <c r="L37" i="10" a="1"/>
  <c r="M38" i="10" a="1"/>
  <c r="N39" i="10" a="1"/>
  <c r="O40" i="10" a="1"/>
  <c r="E7" i="10" a="1"/>
  <c r="F11" i="10" a="1"/>
  <c r="G13" i="10" a="1"/>
  <c r="H15" i="10" a="1"/>
  <c r="I16" i="10" a="1"/>
  <c r="J19" i="10" a="1"/>
  <c r="K21" i="10" a="1"/>
  <c r="L22" i="10" a="1"/>
  <c r="M25" i="10" a="1"/>
  <c r="N28" i="10" a="1"/>
  <c r="O29" i="10" a="1"/>
  <c r="E32" i="10" a="1"/>
  <c r="E45" i="10" a="1"/>
  <c r="F50" i="10" a="1"/>
  <c r="G51" i="10" a="1"/>
  <c r="H56" i="10" a="1"/>
  <c r="J56" i="10" a="1"/>
  <c r="N80" i="10" a="1"/>
  <c r="M37" i="10" a="1"/>
  <c r="N38" i="10" a="1"/>
  <c r="O39" i="10" a="1"/>
  <c r="E41" i="10" a="1"/>
  <c r="F7" i="10" a="1"/>
  <c r="G11" i="10" a="1"/>
  <c r="H13" i="10" a="1"/>
  <c r="I15" i="10" a="1"/>
  <c r="J16" i="10" a="1"/>
  <c r="K19" i="10" a="1"/>
  <c r="L21" i="10" a="1"/>
  <c r="M22" i="10" a="1"/>
  <c r="N25" i="10" a="1"/>
  <c r="O28" i="10" a="1"/>
  <c r="E31" i="10" a="1"/>
  <c r="F32" i="10" a="1"/>
  <c r="F45" i="10" a="1"/>
  <c r="G50" i="10" a="1"/>
  <c r="H51" i="10" a="1"/>
  <c r="I56" i="10" a="1"/>
  <c r="J59" i="10" a="1"/>
  <c r="K68" i="10" a="1"/>
  <c r="L75" i="10" a="1"/>
  <c r="M80" i="10" a="1"/>
  <c r="M7" i="8" a="1"/>
  <c r="H11" i="10" a="1"/>
  <c r="I13" i="10" a="1"/>
  <c r="J15" i="10" a="1"/>
  <c r="K16" i="10" a="1"/>
  <c r="L19" i="10" a="1"/>
  <c r="M21" i="10" a="1"/>
  <c r="N22" i="10" a="1"/>
  <c r="O25" i="10" a="1"/>
  <c r="I51" i="10" a="1"/>
  <c r="M75" i="10" a="1"/>
  <c r="N37" i="10" a="1"/>
  <c r="O38" i="10" a="1"/>
  <c r="E40" i="10" a="1"/>
  <c r="F41" i="10" a="1"/>
  <c r="G7" i="10" a="1"/>
  <c r="O37" i="10" a="1"/>
  <c r="E39" i="10" a="1"/>
  <c r="F40" i="10" a="1"/>
  <c r="G41" i="10" a="1"/>
  <c r="H7" i="10" a="1"/>
  <c r="I11" i="10" a="1"/>
  <c r="J13" i="10" a="1"/>
  <c r="K15" i="10" a="1"/>
  <c r="L16" i="10" a="1"/>
  <c r="M19" i="10" a="1"/>
  <c r="N21" i="10" a="1"/>
  <c r="O22" i="10" a="1"/>
  <c r="E28" i="10" a="1"/>
  <c r="F29" i="10" a="1"/>
  <c r="G31" i="10" a="1"/>
  <c r="H32" i="10" a="1"/>
  <c r="H45" i="10" a="1"/>
  <c r="I50" i="10" a="1"/>
  <c r="J51" i="10" a="1"/>
  <c r="K56" i="10" a="1"/>
  <c r="L59" i="10" a="1"/>
  <c r="M68" i="10" a="1"/>
  <c r="N75" i="10" a="1"/>
  <c r="O80" i="10" a="1"/>
  <c r="O7" i="8" a="1"/>
  <c r="F31" i="10" a="1"/>
  <c r="L68" i="10" a="1"/>
  <c r="A4" i="10"/>
  <c r="E38" i="10" a="1"/>
  <c r="F39" i="10" a="1"/>
  <c r="G40" i="10" a="1"/>
  <c r="H41" i="10" a="1"/>
  <c r="I7" i="10" a="1"/>
  <c r="J11" i="10" a="1"/>
  <c r="K13" i="10" a="1"/>
  <c r="L15" i="10" a="1"/>
  <c r="M16" i="10" a="1"/>
  <c r="N19" i="10" a="1"/>
  <c r="O21" i="10" a="1"/>
  <c r="E25" i="10" a="1"/>
  <c r="F28" i="10" a="1"/>
  <c r="G29" i="10" a="1"/>
  <c r="H31" i="10" a="1"/>
  <c r="I32" i="10" a="1"/>
  <c r="I45" i="10" a="1"/>
  <c r="J50" i="10" a="1"/>
  <c r="K51" i="10" a="1"/>
  <c r="L56" i="10" a="1"/>
  <c r="M59" i="10" a="1"/>
  <c r="N68" i="10" a="1"/>
  <c r="O75" i="10" a="1"/>
  <c r="A4" i="8"/>
  <c r="L51" i="10" a="1"/>
  <c r="E80" i="10" a="1"/>
  <c r="E37" i="10" a="1"/>
  <c r="F38" i="10" a="1"/>
  <c r="G39" i="10" a="1"/>
  <c r="H40" i="10" a="1"/>
  <c r="I41" i="10" a="1"/>
  <c r="J7" i="10" a="1"/>
  <c r="K11" i="10" a="1"/>
  <c r="L13" i="10" a="1"/>
  <c r="M15" i="10" a="1"/>
  <c r="N16" i="10" a="1"/>
  <c r="O19" i="10" a="1"/>
  <c r="E22" i="10" a="1"/>
  <c r="F25" i="10" a="1"/>
  <c r="G28" i="10" a="1"/>
  <c r="H29" i="10" a="1"/>
  <c r="I31" i="10" a="1"/>
  <c r="J32" i="10" a="1"/>
  <c r="J45" i="10" a="1"/>
  <c r="K50" i="10" a="1"/>
  <c r="M56" i="10" a="1"/>
  <c r="N59" i="10" a="1"/>
  <c r="O68" i="10" a="1"/>
  <c r="E7" i="8" a="1"/>
  <c r="M50" i="10" a="1"/>
  <c r="N32" i="10" a="1"/>
  <c r="O50" i="10" a="1"/>
  <c r="F59" i="10" a="1"/>
  <c r="I7" i="8" a="1"/>
  <c r="K7" i="8" a="1"/>
  <c r="L80" i="10" a="1"/>
  <c r="F37" i="10" a="1"/>
  <c r="G38" i="10" a="1"/>
  <c r="H39" i="10" a="1"/>
  <c r="I40" i="10" a="1"/>
  <c r="J41" i="10" a="1"/>
  <c r="K7" i="10" a="1"/>
  <c r="L11" i="10" a="1"/>
  <c r="M13" i="10" a="1"/>
  <c r="N15" i="10" a="1"/>
  <c r="O16" i="10" a="1"/>
  <c r="E21" i="10" a="1"/>
  <c r="F22" i="10" a="1"/>
  <c r="G25" i="10" a="1"/>
  <c r="H28" i="10" a="1"/>
  <c r="I29" i="10" a="1"/>
  <c r="J31" i="10" a="1"/>
  <c r="K32" i="10" a="1"/>
  <c r="K45" i="10" a="1"/>
  <c r="L50" i="10" a="1"/>
  <c r="M51" i="10" a="1"/>
  <c r="N56" i="10" a="1"/>
  <c r="O59" i="10" a="1"/>
  <c r="E75" i="10" a="1"/>
  <c r="F80" i="10" a="1"/>
  <c r="F7" i="8" a="1"/>
  <c r="J40" i="10" a="1"/>
  <c r="M11" i="10" a="1"/>
  <c r="N13" i="10" a="1"/>
  <c r="F21" i="10" a="1"/>
  <c r="J29" i="10" a="1"/>
  <c r="L32" i="10" a="1"/>
  <c r="N51" i="10" a="1"/>
  <c r="F75" i="10" a="1"/>
  <c r="G7" i="8" a="1"/>
  <c r="G37" i="10" a="1"/>
  <c r="H38" i="10" a="1"/>
  <c r="I39" i="10" a="1"/>
  <c r="K41" i="10" a="1"/>
  <c r="L7" i="10" a="1"/>
  <c r="O15" i="10" a="1"/>
  <c r="E19" i="10" a="1"/>
  <c r="G22" i="10" a="1"/>
  <c r="H25" i="10" a="1"/>
  <c r="I28" i="10" a="1"/>
  <c r="K31" i="10" a="1"/>
  <c r="L45" i="10" a="1"/>
  <c r="O56" i="10" a="1"/>
  <c r="E68" i="10" a="1"/>
  <c r="G80" i="10" a="1"/>
  <c r="H7" i="8" a="1"/>
  <c r="L29" i="10" a="1"/>
  <c r="N45" i="10" a="1"/>
  <c r="H75" i="10" a="1"/>
  <c r="G32" i="10" a="1"/>
  <c r="K59" i="10" a="1"/>
  <c r="N7" i="8" a="1"/>
  <c r="H37" i="10" a="1"/>
  <c r="I38" i="10" a="1"/>
  <c r="J39" i="10" a="1"/>
  <c r="K40" i="10" a="1"/>
  <c r="L41" i="10" a="1"/>
  <c r="M7" i="10" a="1"/>
  <c r="N11" i="10" a="1"/>
  <c r="O13" i="10" a="1"/>
  <c r="E16" i="10" a="1"/>
  <c r="F19" i="10" a="1"/>
  <c r="G21" i="10" a="1"/>
  <c r="H22" i="10" a="1"/>
  <c r="I25" i="10" a="1"/>
  <c r="J28" i="10" a="1"/>
  <c r="K29" i="10" a="1"/>
  <c r="L31" i="10" a="1"/>
  <c r="M32" i="10" a="1"/>
  <c r="M45" i="10" a="1"/>
  <c r="N50" i="10" a="1"/>
  <c r="O51" i="10" a="1"/>
  <c r="E59" i="10" a="1"/>
  <c r="F68" i="10" a="1"/>
  <c r="G75" i="10" a="1"/>
  <c r="H80" i="10" a="1"/>
  <c r="K28" i="10" a="1"/>
  <c r="M31" i="10" a="1"/>
  <c r="E56" i="10" a="1"/>
  <c r="G68" i="10" a="1"/>
  <c r="I80" i="10" a="1"/>
  <c r="J75" i="10" a="1"/>
  <c r="I59" i="10" a="1"/>
  <c r="K75" i="10" a="1"/>
  <c r="G45" i="10" a="1"/>
  <c r="I37" i="10" a="1"/>
  <c r="J38" i="10" a="1"/>
  <c r="K39" i="10" a="1"/>
  <c r="L40" i="10" a="1"/>
  <c r="M41" i="10" a="1"/>
  <c r="N7" i="10" a="1"/>
  <c r="O11" i="10" a="1"/>
  <c r="E15" i="10" a="1"/>
  <c r="F16" i="10" a="1"/>
  <c r="G19" i="10" a="1"/>
  <c r="H21" i="10" a="1"/>
  <c r="I22" i="10" a="1"/>
  <c r="J25" i="10" a="1"/>
  <c r="J37" i="10" a="1"/>
  <c r="K38" i="10" a="1"/>
  <c r="L39" i="10" a="1"/>
  <c r="M40" i="10" a="1"/>
  <c r="N41" i="10" a="1"/>
  <c r="O7" i="10" a="1"/>
  <c r="E13" i="10" a="1"/>
  <c r="F15" i="10" a="1"/>
  <c r="G16" i="10" a="1"/>
  <c r="H19" i="10" a="1"/>
  <c r="I21" i="10" a="1"/>
  <c r="J22" i="10" a="1"/>
  <c r="K25" i="10" a="1"/>
  <c r="L28" i="10" a="1"/>
  <c r="M29" i="10" a="1"/>
  <c r="N31" i="10" a="1"/>
  <c r="O32" i="10" a="1"/>
  <c r="O45" i="10" a="1"/>
  <c r="E51" i="10" a="1"/>
  <c r="F56" i="10" a="1"/>
  <c r="G59" i="10" a="1"/>
  <c r="H68" i="10" a="1"/>
  <c r="I75" i="10" a="1"/>
  <c r="J80" i="10" a="1"/>
  <c r="J7" i="8" a="1"/>
  <c r="F51" i="10" a="1"/>
  <c r="G56" i="10" a="1"/>
  <c r="H59" i="10" a="1"/>
  <c r="K80" i="10" a="1"/>
  <c r="L7" i="8" a="1"/>
  <c r="K37" i="10" a="1"/>
  <c r="L38" i="10" a="1"/>
  <c r="M39" i="10" a="1"/>
  <c r="N40" i="10" a="1"/>
  <c r="O41" i="10" a="1"/>
  <c r="E11" i="10" a="1"/>
  <c r="F13" i="10" a="1"/>
  <c r="G15" i="10" a="1"/>
  <c r="H16" i="10" a="1"/>
  <c r="I19" i="10" a="1"/>
  <c r="J21" i="10" a="1"/>
  <c r="K22" i="10" a="1"/>
  <c r="L25" i="10" a="1"/>
  <c r="M28" i="10" a="1"/>
  <c r="N29" i="10" a="1"/>
  <c r="O31" i="10" a="1"/>
  <c r="E35" i="10" a="1"/>
  <c r="E50" i="10" a="1"/>
  <c r="I68" i="10" a="1"/>
  <c r="J68" i="10" a="1"/>
  <c r="E29" i="10" a="1"/>
  <c r="H50" i="10" a="1"/>
  <c r="O7" i="8" l="1"/>
  <c r="N7" i="8"/>
  <c r="M7" i="8"/>
  <c r="L7" i="8"/>
  <c r="K7" i="8"/>
  <c r="J7" i="8"/>
  <c r="I7" i="8"/>
  <c r="H7" i="8"/>
  <c r="G7" i="8"/>
  <c r="F7" i="8"/>
  <c r="E7" i="8"/>
  <c r="O80" i="10"/>
  <c r="N80" i="10"/>
  <c r="M80" i="10"/>
  <c r="L80" i="10"/>
  <c r="K80" i="10"/>
  <c r="J80" i="10"/>
  <c r="I80" i="10"/>
  <c r="H80" i="10"/>
  <c r="G80" i="10"/>
  <c r="F80" i="10"/>
  <c r="E80" i="10"/>
  <c r="O75" i="10"/>
  <c r="N75" i="10"/>
  <c r="M75" i="10"/>
  <c r="L75" i="10"/>
  <c r="K75" i="10"/>
  <c r="J75" i="10"/>
  <c r="I75" i="10"/>
  <c r="H75" i="10"/>
  <c r="G75" i="10"/>
  <c r="F75" i="10"/>
  <c r="E75" i="10"/>
  <c r="O68" i="10"/>
  <c r="N68" i="10"/>
  <c r="M68" i="10"/>
  <c r="L68" i="10"/>
  <c r="K68" i="10"/>
  <c r="J68" i="10"/>
  <c r="I68" i="10"/>
  <c r="H68" i="10"/>
  <c r="G68" i="10"/>
  <c r="F68" i="10"/>
  <c r="E68" i="10"/>
  <c r="O59" i="10"/>
  <c r="N59" i="10"/>
  <c r="M59" i="10"/>
  <c r="L59" i="10"/>
  <c r="K59" i="10"/>
  <c r="J59" i="10"/>
  <c r="I59" i="10"/>
  <c r="H59" i="10"/>
  <c r="G59" i="10"/>
  <c r="F59" i="10"/>
  <c r="E59" i="10"/>
  <c r="O56" i="10"/>
  <c r="N56" i="10"/>
  <c r="M56" i="10"/>
  <c r="L56" i="10"/>
  <c r="K56" i="10"/>
  <c r="J56" i="10"/>
  <c r="I56" i="10"/>
  <c r="H56" i="10"/>
  <c r="G56" i="10"/>
  <c r="F56" i="10"/>
  <c r="E56" i="10"/>
  <c r="O51" i="10"/>
  <c r="N51" i="10"/>
  <c r="M51" i="10"/>
  <c r="L51" i="10"/>
  <c r="K51" i="10"/>
  <c r="J51" i="10"/>
  <c r="I51" i="10"/>
  <c r="H51" i="10"/>
  <c r="G51" i="10"/>
  <c r="F51" i="10"/>
  <c r="E51" i="10"/>
  <c r="O50" i="10"/>
  <c r="N50" i="10"/>
  <c r="M50" i="10"/>
  <c r="L50" i="10"/>
  <c r="K50" i="10"/>
  <c r="J50" i="10"/>
  <c r="I50" i="10"/>
  <c r="H50" i="10"/>
  <c r="G50" i="10"/>
  <c r="F50" i="10"/>
  <c r="E50" i="10"/>
  <c r="O45" i="10"/>
  <c r="N45" i="10"/>
  <c r="M45" i="10"/>
  <c r="L45" i="10"/>
  <c r="K45" i="10"/>
  <c r="J45" i="10"/>
  <c r="I45" i="10"/>
  <c r="H45" i="10"/>
  <c r="G45" i="10"/>
  <c r="F45" i="10"/>
  <c r="E45" i="10"/>
  <c r="E35" i="10"/>
  <c r="O32" i="10"/>
  <c r="N32" i="10"/>
  <c r="M32" i="10"/>
  <c r="L32" i="10"/>
  <c r="K32" i="10"/>
  <c r="J32" i="10"/>
  <c r="I32" i="10"/>
  <c r="H32" i="10"/>
  <c r="G32" i="10"/>
  <c r="F32" i="10"/>
  <c r="E32" i="10"/>
  <c r="O31" i="10"/>
  <c r="N31" i="10"/>
  <c r="M31" i="10"/>
  <c r="L31" i="10"/>
  <c r="K31" i="10"/>
  <c r="J31" i="10"/>
  <c r="I31" i="10"/>
  <c r="H31" i="10"/>
  <c r="G31" i="10"/>
  <c r="F31" i="10"/>
  <c r="E31" i="10"/>
  <c r="O29" i="10"/>
  <c r="N29" i="10"/>
  <c r="M29" i="10"/>
  <c r="L29" i="10"/>
  <c r="K29" i="10"/>
  <c r="J29" i="10"/>
  <c r="I29" i="10"/>
  <c r="H29" i="10"/>
  <c r="G29" i="10"/>
  <c r="F29" i="10"/>
  <c r="E29" i="10"/>
  <c r="O28" i="10"/>
  <c r="N28" i="10"/>
  <c r="M28" i="10"/>
  <c r="L28" i="10"/>
  <c r="K28" i="10"/>
  <c r="J28" i="10"/>
  <c r="I28" i="10"/>
  <c r="H28" i="10"/>
  <c r="G28" i="10"/>
  <c r="F28" i="10"/>
  <c r="E28" i="10"/>
  <c r="O25" i="10"/>
  <c r="N25" i="10"/>
  <c r="M25" i="10"/>
  <c r="L25" i="10"/>
  <c r="K25" i="10"/>
  <c r="J25" i="10"/>
  <c r="I25" i="10"/>
  <c r="H25" i="10"/>
  <c r="G25" i="10"/>
  <c r="F25" i="10"/>
  <c r="E25" i="10"/>
  <c r="O22" i="10"/>
  <c r="N22" i="10"/>
  <c r="M22" i="10"/>
  <c r="L22" i="10"/>
  <c r="K22" i="10"/>
  <c r="J22" i="10"/>
  <c r="I22" i="10"/>
  <c r="H22" i="10"/>
  <c r="G22" i="10"/>
  <c r="F22" i="10"/>
  <c r="E22" i="10"/>
  <c r="O21" i="10"/>
  <c r="N21" i="10"/>
  <c r="M21" i="10"/>
  <c r="L21" i="10"/>
  <c r="K21" i="10"/>
  <c r="J21" i="10"/>
  <c r="I21" i="10"/>
  <c r="H21" i="10"/>
  <c r="G21" i="10"/>
  <c r="F21" i="10"/>
  <c r="E21" i="10"/>
  <c r="O19" i="10"/>
  <c r="N19" i="10"/>
  <c r="M19" i="10"/>
  <c r="L19" i="10"/>
  <c r="K19" i="10"/>
  <c r="J19" i="10"/>
  <c r="I19" i="10"/>
  <c r="H19" i="10"/>
  <c r="G19" i="10"/>
  <c r="F19" i="10"/>
  <c r="E19" i="10"/>
  <c r="O16" i="10"/>
  <c r="N16" i="10"/>
  <c r="M16" i="10"/>
  <c r="L16" i="10"/>
  <c r="K16" i="10"/>
  <c r="J16" i="10"/>
  <c r="I16" i="10"/>
  <c r="H16" i="10"/>
  <c r="G16" i="10"/>
  <c r="F16" i="10"/>
  <c r="E16" i="10"/>
  <c r="O15" i="10"/>
  <c r="N15" i="10"/>
  <c r="M15" i="10"/>
  <c r="L15" i="10"/>
  <c r="K15" i="10"/>
  <c r="J15" i="10"/>
  <c r="I15" i="10"/>
  <c r="H15" i="10"/>
  <c r="G15" i="10"/>
  <c r="F15" i="10"/>
  <c r="E15" i="10"/>
  <c r="O13" i="10"/>
  <c r="N13" i="10"/>
  <c r="M13" i="10"/>
  <c r="L13" i="10"/>
  <c r="K13" i="10"/>
  <c r="J13" i="10"/>
  <c r="I13" i="10"/>
  <c r="H13" i="10"/>
  <c r="G13" i="10"/>
  <c r="F13" i="10"/>
  <c r="E13" i="10"/>
  <c r="O11" i="10"/>
  <c r="N11" i="10"/>
  <c r="M11" i="10"/>
  <c r="L11" i="10"/>
  <c r="K11" i="10"/>
  <c r="J11" i="10"/>
  <c r="I11" i="10"/>
  <c r="H11" i="10"/>
  <c r="G11" i="10"/>
  <c r="F11" i="10"/>
  <c r="E11" i="10"/>
  <c r="O7" i="10"/>
  <c r="N7" i="10"/>
  <c r="M7" i="10"/>
  <c r="L7" i="10"/>
  <c r="K7" i="10"/>
  <c r="J7" i="10"/>
  <c r="I7" i="10"/>
  <c r="H7" i="10"/>
  <c r="G7" i="10"/>
  <c r="F7" i="10"/>
  <c r="E7" i="10"/>
  <c r="O41" i="10"/>
  <c r="N41" i="10"/>
  <c r="M41" i="10"/>
  <c r="L41" i="10"/>
  <c r="K41" i="10"/>
  <c r="J41" i="10"/>
  <c r="I41" i="10"/>
  <c r="H41" i="10"/>
  <c r="G41" i="10"/>
  <c r="F41" i="10"/>
  <c r="E41" i="10"/>
  <c r="O40" i="10"/>
  <c r="N40" i="10"/>
  <c r="M40" i="10"/>
  <c r="L40" i="10"/>
  <c r="K40" i="10"/>
  <c r="J40" i="10"/>
  <c r="I40" i="10"/>
  <c r="H40" i="10"/>
  <c r="G40" i="10"/>
  <c r="F40" i="10"/>
  <c r="E40" i="10"/>
  <c r="O39" i="10"/>
  <c r="N39" i="10"/>
  <c r="M39" i="10"/>
  <c r="L39" i="10"/>
  <c r="K39" i="10"/>
  <c r="J39" i="10"/>
  <c r="I39" i="10"/>
  <c r="H39" i="10"/>
  <c r="G39" i="10"/>
  <c r="F39" i="10"/>
  <c r="E39" i="10"/>
  <c r="O38" i="10"/>
  <c r="N38" i="10"/>
  <c r="M38" i="10"/>
  <c r="L38" i="10"/>
  <c r="K38" i="10"/>
  <c r="J38" i="10"/>
  <c r="I38" i="10"/>
  <c r="H38" i="10"/>
  <c r="G38" i="10"/>
  <c r="F38" i="10"/>
  <c r="E38" i="10"/>
  <c r="O37" i="10"/>
  <c r="N37" i="10"/>
  <c r="M37" i="10"/>
  <c r="L37" i="10"/>
  <c r="K37" i="10"/>
  <c r="J37" i="10"/>
  <c r="I37" i="10"/>
  <c r="H37" i="10"/>
  <c r="G37" i="10"/>
  <c r="F37" i="10"/>
  <c r="E37" i="10"/>
  <c r="G2" i="10"/>
  <c r="F2" i="10"/>
  <c r="E2" i="10"/>
  <c r="O25" i="8" a="1"/>
  <c r="O44" i="8" a="1"/>
  <c r="O61" i="8" a="1"/>
  <c r="O79" i="8" a="1"/>
  <c r="N21" i="8" a="1"/>
  <c r="N39" i="8" a="1"/>
  <c r="N56" i="8" a="1"/>
  <c r="N74" i="8" a="1"/>
  <c r="M17" i="8" a="1"/>
  <c r="M34" i="8" a="1"/>
  <c r="M53" i="8" a="1"/>
  <c r="M71" i="8" a="1"/>
  <c r="L13" i="8" a="1"/>
  <c r="L31" i="8" a="1"/>
  <c r="L50" i="8" a="1"/>
  <c r="L66" i="8" a="1"/>
  <c r="L82" i="8" a="1"/>
  <c r="J25" i="8" a="1"/>
  <c r="J44" i="8" a="1"/>
  <c r="J61" i="8" a="1"/>
  <c r="J79" i="8" a="1"/>
  <c r="K21" i="8" a="1"/>
  <c r="K39" i="8" a="1"/>
  <c r="K56" i="8" a="1"/>
  <c r="K74" i="8" a="1"/>
  <c r="I17" i="8" a="1"/>
  <c r="I34" i="8" a="1"/>
  <c r="I53" i="8" a="1"/>
  <c r="I71" i="8" a="1"/>
  <c r="H13" i="8" a="1"/>
  <c r="H31" i="8" a="1"/>
  <c r="H50" i="8" a="1"/>
  <c r="H66" i="8" a="1"/>
  <c r="H82" i="8" a="1"/>
  <c r="G44" i="8" a="1"/>
  <c r="G79" i="8" a="1"/>
  <c r="F39" i="8" a="1"/>
  <c r="F74" i="8" a="1"/>
  <c r="E17" i="8" a="1"/>
  <c r="E67" i="8" a="1"/>
  <c r="M54" i="8" a="1"/>
  <c r="K59" i="8" a="1"/>
  <c r="H32" i="8" a="1"/>
  <c r="G45" i="8" a="1"/>
  <c r="F22" i="8" a="1"/>
  <c r="E35" i="8" a="1"/>
  <c r="K60" i="8" a="1"/>
  <c r="H68" i="8" a="1"/>
  <c r="L17" i="8" a="1"/>
  <c r="I56" i="8" a="1"/>
  <c r="G31" i="8" a="1"/>
  <c r="F61" i="8" a="1"/>
  <c r="E38" i="8" a="1"/>
  <c r="H55" i="8" a="1"/>
  <c r="O11" i="8" a="1"/>
  <c r="O28" i="8" a="1"/>
  <c r="O45" i="8" a="1"/>
  <c r="O63" i="8" a="1"/>
  <c r="O80" i="8" a="1"/>
  <c r="N22" i="8" a="1"/>
  <c r="N40" i="8" a="1"/>
  <c r="N59" i="8" a="1"/>
  <c r="N75" i="8" a="1"/>
  <c r="M18" i="8" a="1"/>
  <c r="L32" i="8" a="1"/>
  <c r="L67" i="8" a="1"/>
  <c r="J11" i="8" a="1"/>
  <c r="K75" i="8" a="1"/>
  <c r="G11" i="8" a="1"/>
  <c r="F40" i="8" a="1"/>
  <c r="J81" i="8" a="1"/>
  <c r="I55" i="8" a="1"/>
  <c r="G29" i="8" a="1"/>
  <c r="M74" i="8" a="1"/>
  <c r="G13" i="8" a="1"/>
  <c r="F25" i="8" a="1"/>
  <c r="E72" i="8" a="1"/>
  <c r="H19" i="8" a="1"/>
  <c r="E56" i="8" a="1"/>
  <c r="O12" i="8" a="1"/>
  <c r="O29" i="8" a="1"/>
  <c r="O46" i="8" a="1"/>
  <c r="O64" i="8" a="1"/>
  <c r="O81" i="8" a="1"/>
  <c r="N24" i="8" a="1"/>
  <c r="N41" i="8" a="1"/>
  <c r="N60" i="8" a="1"/>
  <c r="N78" i="8" a="1"/>
  <c r="M19" i="8" a="1"/>
  <c r="M38" i="8" a="1"/>
  <c r="M55" i="8" a="1"/>
  <c r="M73" i="8" a="1"/>
  <c r="L16" i="8" a="1"/>
  <c r="L33" i="8" a="1"/>
  <c r="L52" i="8" a="1"/>
  <c r="L68" i="8" a="1"/>
  <c r="J12" i="8" a="1"/>
  <c r="J29" i="8" a="1"/>
  <c r="J46" i="8" a="1"/>
  <c r="J64" i="8" a="1"/>
  <c r="K78" i="8" a="1"/>
  <c r="H52" i="8" a="1"/>
  <c r="G81" i="8" a="1"/>
  <c r="L34" i="8" a="1"/>
  <c r="J66" i="8" a="1"/>
  <c r="K79" i="8" a="1"/>
  <c r="H53" i="8" a="1"/>
  <c r="F79" i="8" a="1"/>
  <c r="E22" i="8" a="1"/>
  <c r="G33" i="8" a="1"/>
  <c r="F46" i="8" a="1"/>
  <c r="O13" i="8" a="1"/>
  <c r="O31" i="8" a="1"/>
  <c r="O50" i="8" a="1"/>
  <c r="O66" i="8" a="1"/>
  <c r="O82" i="8" a="1"/>
  <c r="N25" i="8" a="1"/>
  <c r="O51" i="8" a="1"/>
  <c r="O67" i="8" a="1"/>
  <c r="N11" i="8" a="1"/>
  <c r="N28" i="8" a="1"/>
  <c r="N45" i="8" a="1"/>
  <c r="N63" i="8" a="1"/>
  <c r="N80" i="8" a="1"/>
  <c r="M22" i="8" a="1"/>
  <c r="M40" i="8" a="1"/>
  <c r="M59" i="8" a="1"/>
  <c r="M75" i="8" a="1"/>
  <c r="L18" i="8" a="1"/>
  <c r="L37" i="8" a="1"/>
  <c r="L54" i="8" a="1"/>
  <c r="L72" i="8" a="1"/>
  <c r="J15" i="8" a="1"/>
  <c r="J32" i="8" a="1"/>
  <c r="J51" i="8" a="1"/>
  <c r="J67" i="8" a="1"/>
  <c r="K11" i="8" a="1"/>
  <c r="K28" i="8" a="1"/>
  <c r="K45" i="8" a="1"/>
  <c r="K63" i="8" a="1"/>
  <c r="K80" i="8" a="1"/>
  <c r="I22" i="8" a="1"/>
  <c r="I40" i="8" a="1"/>
  <c r="I59" i="8" a="1"/>
  <c r="I75" i="8" a="1"/>
  <c r="H18" i="8" a="1"/>
  <c r="H37" i="8" a="1"/>
  <c r="H54" i="8" a="1"/>
  <c r="H72" i="8" a="1"/>
  <c r="G15" i="8" a="1"/>
  <c r="G32" i="8" a="1"/>
  <c r="G51" i="8" a="1"/>
  <c r="G67" i="8" a="1"/>
  <c r="F11" i="8" a="1"/>
  <c r="F28" i="8" a="1"/>
  <c r="F45" i="8" a="1"/>
  <c r="F63" i="8" a="1"/>
  <c r="F80" i="8" a="1"/>
  <c r="I60" i="8" a="1"/>
  <c r="G52" i="8" a="1"/>
  <c r="E24" i="8" a="1"/>
  <c r="O16" i="8" a="1"/>
  <c r="O33" i="8" a="1"/>
  <c r="O52" i="8" a="1"/>
  <c r="O68" i="8" a="1"/>
  <c r="N12" i="8" a="1"/>
  <c r="N29" i="8" a="1"/>
  <c r="N46" i="8" a="1"/>
  <c r="N64" i="8" a="1"/>
  <c r="N81" i="8" a="1"/>
  <c r="M24" i="8" a="1"/>
  <c r="M41" i="8" a="1"/>
  <c r="M60" i="8" a="1"/>
  <c r="M78" i="8" a="1"/>
  <c r="L19" i="8" a="1"/>
  <c r="L38" i="8" a="1"/>
  <c r="L55" i="8" a="1"/>
  <c r="L73" i="8" a="1"/>
  <c r="J16" i="8" a="1"/>
  <c r="J33" i="8" a="1"/>
  <c r="J52" i="8" a="1"/>
  <c r="J68" i="8" a="1"/>
  <c r="K12" i="8" a="1"/>
  <c r="K29" i="8" a="1"/>
  <c r="K46" i="8" a="1"/>
  <c r="K64" i="8" a="1"/>
  <c r="K81" i="8" a="1"/>
  <c r="I78" i="8" a="1"/>
  <c r="E40" i="8" a="1"/>
  <c r="O17" i="8" a="1"/>
  <c r="O34" i="8" a="1"/>
  <c r="O53" i="8" a="1"/>
  <c r="O71" i="8" a="1"/>
  <c r="N13" i="8" a="1"/>
  <c r="N31" i="8" a="1"/>
  <c r="N50" i="8" a="1"/>
  <c r="N66" i="8" a="1"/>
  <c r="N82" i="8" a="1"/>
  <c r="M25" i="8" a="1"/>
  <c r="M44" i="8" a="1"/>
  <c r="M61" i="8" a="1"/>
  <c r="M79" i="8" a="1"/>
  <c r="L21" i="8" a="1"/>
  <c r="L39" i="8" a="1"/>
  <c r="L56" i="8" a="1"/>
  <c r="L74" i="8" a="1"/>
  <c r="J17" i="8" a="1"/>
  <c r="J34" i="8" a="1"/>
  <c r="J53" i="8" a="1"/>
  <c r="J71" i="8" a="1"/>
  <c r="K13" i="8" a="1"/>
  <c r="K31" i="8" a="1"/>
  <c r="K50" i="8" a="1"/>
  <c r="K66" i="8" a="1"/>
  <c r="K82" i="8" a="1"/>
  <c r="I25" i="8" a="1"/>
  <c r="I44" i="8" a="1"/>
  <c r="I61" i="8" a="1"/>
  <c r="I79" i="8" a="1"/>
  <c r="H21" i="8" a="1"/>
  <c r="H39" i="8" a="1"/>
  <c r="H56" i="8" a="1"/>
  <c r="H74" i="8" a="1"/>
  <c r="G17" i="8" a="1"/>
  <c r="G34" i="8" a="1"/>
  <c r="G53" i="8" a="1"/>
  <c r="G71" i="8" a="1"/>
  <c r="F13" i="8" a="1"/>
  <c r="F31" i="8" a="1"/>
  <c r="F50" i="8" a="1"/>
  <c r="F66" i="8" a="1"/>
  <c r="F82" i="8" a="1"/>
  <c r="E25" i="8" a="1"/>
  <c r="E41" i="8" a="1"/>
  <c r="E59" i="8" a="1"/>
  <c r="E75" i="8" a="1"/>
  <c r="I29" i="8" a="1"/>
  <c r="I81" i="8" a="1"/>
  <c r="H60" i="8" a="1"/>
  <c r="F52" i="8" a="1"/>
  <c r="E12" i="8" a="1"/>
  <c r="E46" i="8" a="1"/>
  <c r="J45" i="8" a="1"/>
  <c r="E68" i="8" a="1"/>
  <c r="G46" i="8" a="1"/>
  <c r="F60" i="8" a="1"/>
  <c r="E53" i="8" a="1"/>
  <c r="N79" i="8" a="1"/>
  <c r="J13" i="8" a="1"/>
  <c r="K44" i="8" a="1"/>
  <c r="I39" i="8" a="1"/>
  <c r="H34" i="8" a="1"/>
  <c r="G66" i="8" a="1"/>
  <c r="H73" i="8" a="1"/>
  <c r="F12" i="8" a="1"/>
  <c r="F81" i="8" a="1"/>
  <c r="E74" i="8" a="1"/>
  <c r="O72" i="8" a="1"/>
  <c r="N51" i="8" a="1"/>
  <c r="N67" i="8" a="1"/>
  <c r="M11" i="8" a="1"/>
  <c r="M28" i="8" a="1"/>
  <c r="M45" i="8" a="1"/>
  <c r="M63" i="8" a="1"/>
  <c r="M80" i="8" a="1"/>
  <c r="L22" i="8" a="1"/>
  <c r="L40" i="8" a="1"/>
  <c r="L59" i="8" a="1"/>
  <c r="L75" i="8" a="1"/>
  <c r="J18" i="8" a="1"/>
  <c r="J37" i="8" a="1"/>
  <c r="J54" i="8" a="1"/>
  <c r="J72" i="8" a="1"/>
  <c r="K15" i="8" a="1"/>
  <c r="K32" i="8" a="1"/>
  <c r="K51" i="8" a="1"/>
  <c r="K67" i="8" a="1"/>
  <c r="I11" i="8" a="1"/>
  <c r="I28" i="8" a="1"/>
  <c r="I45" i="8" a="1"/>
  <c r="I63" i="8" a="1"/>
  <c r="I80" i="8" a="1"/>
  <c r="H22" i="8" a="1"/>
  <c r="H40" i="8" a="1"/>
  <c r="H59" i="8" a="1"/>
  <c r="H75" i="8" a="1"/>
  <c r="G18" i="8" a="1"/>
  <c r="G37" i="8" a="1"/>
  <c r="G54" i="8" a="1"/>
  <c r="G72" i="8" a="1"/>
  <c r="F15" i="8" a="1"/>
  <c r="F32" i="8" a="1"/>
  <c r="F51" i="8" a="1"/>
  <c r="F67" i="8" a="1"/>
  <c r="E11" i="8" a="1"/>
  <c r="E28" i="8" a="1"/>
  <c r="E42" i="8" a="1"/>
  <c r="E60" i="8" a="1"/>
  <c r="E78" i="8" a="1"/>
  <c r="I46" i="8" a="1"/>
  <c r="H24" i="8" a="1"/>
  <c r="H78" i="8" a="1"/>
  <c r="G38" i="8" a="1"/>
  <c r="F16" i="8" a="1"/>
  <c r="F68" i="8" a="1"/>
  <c r="E29" i="8" a="1"/>
  <c r="E61" i="8" a="1"/>
  <c r="E32" i="8" a="1"/>
  <c r="J28" i="8" a="1"/>
  <c r="I37" i="8" a="1"/>
  <c r="G28" i="8" a="1"/>
  <c r="G80" i="8" a="1"/>
  <c r="E18" i="8" a="1"/>
  <c r="K24" i="8" a="1"/>
  <c r="H33" i="8" a="1"/>
  <c r="N44" i="8" a="1"/>
  <c r="L53" i="8" a="1"/>
  <c r="J50" i="8" a="1"/>
  <c r="K61" i="8" a="1"/>
  <c r="H71" i="8" a="1"/>
  <c r="E39" i="8" a="1"/>
  <c r="H38" i="8" a="1"/>
  <c r="F29" i="8" a="1"/>
  <c r="O19" i="8" a="1"/>
  <c r="O38" i="8" a="1"/>
  <c r="O55" i="8" a="1"/>
  <c r="O73" i="8" a="1"/>
  <c r="N16" i="8" a="1"/>
  <c r="N33" i="8" a="1"/>
  <c r="N52" i="8" a="1"/>
  <c r="N68" i="8" a="1"/>
  <c r="M12" i="8" a="1"/>
  <c r="M29" i="8" a="1"/>
  <c r="M46" i="8" a="1"/>
  <c r="M64" i="8" a="1"/>
  <c r="M81" i="8" a="1"/>
  <c r="L24" i="8" a="1"/>
  <c r="L41" i="8" a="1"/>
  <c r="L60" i="8" a="1"/>
  <c r="L78" i="8" a="1"/>
  <c r="J19" i="8" a="1"/>
  <c r="J38" i="8" a="1"/>
  <c r="J55" i="8" a="1"/>
  <c r="J73" i="8" a="1"/>
  <c r="K16" i="8" a="1"/>
  <c r="K33" i="8" a="1"/>
  <c r="K52" i="8" a="1"/>
  <c r="K68" i="8" a="1"/>
  <c r="I12" i="8" a="1"/>
  <c r="I64" i="8" a="1"/>
  <c r="H41" i="8" a="1"/>
  <c r="G19" i="8" a="1"/>
  <c r="G55" i="8" a="1"/>
  <c r="G73" i="8" a="1"/>
  <c r="F33" i="8" a="1"/>
  <c r="E44" i="8" a="1"/>
  <c r="E79" i="8" a="1"/>
  <c r="K40" i="8" a="1"/>
  <c r="I72" i="8" a="1"/>
  <c r="K41" i="8" a="1"/>
  <c r="H16" i="8" a="1"/>
  <c r="G64" i="8" a="1"/>
  <c r="E37" i="8" a="1"/>
  <c r="M21" i="8" a="1"/>
  <c r="H17" i="8" a="1"/>
  <c r="G82" i="8" a="1"/>
  <c r="E21" i="8" a="1"/>
  <c r="I24" i="8" a="1"/>
  <c r="G68" i="8" a="1"/>
  <c r="O21" i="8" a="1"/>
  <c r="O39" i="8" a="1"/>
  <c r="O56" i="8" a="1"/>
  <c r="O74" i="8" a="1"/>
  <c r="N17" i="8" a="1"/>
  <c r="N34" i="8" a="1"/>
  <c r="N53" i="8" a="1"/>
  <c r="N71" i="8" a="1"/>
  <c r="M13" i="8" a="1"/>
  <c r="M31" i="8" a="1"/>
  <c r="M50" i="8" a="1"/>
  <c r="M66" i="8" a="1"/>
  <c r="M82" i="8" a="1"/>
  <c r="L25" i="8" a="1"/>
  <c r="L44" i="8" a="1"/>
  <c r="L61" i="8" a="1"/>
  <c r="L79" i="8" a="1"/>
  <c r="J21" i="8" a="1"/>
  <c r="J39" i="8" a="1"/>
  <c r="J56" i="8" a="1"/>
  <c r="J74" i="8" a="1"/>
  <c r="K17" i="8" a="1"/>
  <c r="K34" i="8" a="1"/>
  <c r="K53" i="8" a="1"/>
  <c r="K71" i="8" a="1"/>
  <c r="I13" i="8" a="1"/>
  <c r="I31" i="8" a="1"/>
  <c r="I50" i="8" a="1"/>
  <c r="I66" i="8" a="1"/>
  <c r="I82" i="8" a="1"/>
  <c r="H25" i="8" a="1"/>
  <c r="H44" i="8" a="1"/>
  <c r="H61" i="8" a="1"/>
  <c r="H79" i="8" a="1"/>
  <c r="G21" i="8" a="1"/>
  <c r="G39" i="8" a="1"/>
  <c r="G56" i="8" a="1"/>
  <c r="G74" i="8" a="1"/>
  <c r="F17" i="8" a="1"/>
  <c r="F34" i="8" a="1"/>
  <c r="F53" i="8" a="1"/>
  <c r="F71" i="8" a="1"/>
  <c r="E13" i="8" a="1"/>
  <c r="E31" i="8" a="1"/>
  <c r="E45" i="8" a="1"/>
  <c r="E63" i="8" a="1"/>
  <c r="E80" i="8" a="1"/>
  <c r="G22" i="8" a="1"/>
  <c r="G40" i="8" a="1"/>
  <c r="G75" i="8" a="1"/>
  <c r="F18" i="8" a="1"/>
  <c r="F37" i="8" a="1"/>
  <c r="F72" i="8" a="1"/>
  <c r="E15" i="8" a="1"/>
  <c r="E81" i="8" a="1"/>
  <c r="J80" i="8" a="1"/>
  <c r="I54" i="8" a="1"/>
  <c r="H67" i="8" a="1"/>
  <c r="G63" i="8" a="1"/>
  <c r="F75" i="8" a="1"/>
  <c r="I19" i="8" a="1"/>
  <c r="G12" i="8" a="1"/>
  <c r="F41" i="8" a="1"/>
  <c r="F78" i="8" a="1"/>
  <c r="N61" i="8" a="1"/>
  <c r="L71" i="8" a="1"/>
  <c r="J31" i="8" a="1"/>
  <c r="J82" i="8" a="1"/>
  <c r="I21" i="8" a="1"/>
  <c r="E73" i="8" a="1"/>
  <c r="O59" i="8" a="1"/>
  <c r="O75" i="8" a="1"/>
  <c r="N18" i="8" a="1"/>
  <c r="N37" i="8" a="1"/>
  <c r="N54" i="8" a="1"/>
  <c r="N72" i="8" a="1"/>
  <c r="M15" i="8" a="1"/>
  <c r="M32" i="8" a="1"/>
  <c r="M51" i="8" a="1"/>
  <c r="M67" i="8" a="1"/>
  <c r="L11" i="8" a="1"/>
  <c r="L28" i="8" a="1"/>
  <c r="L45" i="8" a="1"/>
  <c r="L63" i="8" a="1"/>
  <c r="L80" i="8" a="1"/>
  <c r="J22" i="8" a="1"/>
  <c r="J40" i="8" a="1"/>
  <c r="J59" i="8" a="1"/>
  <c r="J75" i="8" a="1"/>
  <c r="K18" i="8" a="1"/>
  <c r="K37" i="8" a="1"/>
  <c r="K54" i="8" a="1"/>
  <c r="K72" i="8" a="1"/>
  <c r="I15" i="8" a="1"/>
  <c r="I32" i="8" a="1"/>
  <c r="I51" i="8" a="1"/>
  <c r="I67" i="8" a="1"/>
  <c r="H11" i="8" a="1"/>
  <c r="H28" i="8" a="1"/>
  <c r="H45" i="8" a="1"/>
  <c r="H63" i="8" a="1"/>
  <c r="H80" i="8" a="1"/>
  <c r="G59" i="8" a="1"/>
  <c r="F54" i="8" a="1"/>
  <c r="E64" i="8" a="1"/>
  <c r="J63" i="8" a="1"/>
  <c r="H51" i="8" a="1"/>
  <c r="E52" i="8" a="1"/>
  <c r="I38" i="8" a="1"/>
  <c r="F24" i="8" a="1"/>
  <c r="E19" i="8" a="1"/>
  <c r="M39" i="8" a="1"/>
  <c r="K25" i="8" a="1"/>
  <c r="I74" i="8" a="1"/>
  <c r="G50" i="8" a="1"/>
  <c r="E54" i="8" a="1"/>
  <c r="I41" i="8" a="1"/>
  <c r="F64" i="8" a="1"/>
  <c r="O78" i="8" a="1"/>
  <c r="N38" i="8" a="1"/>
  <c r="N55" i="8" a="1"/>
  <c r="N73" i="8" a="1"/>
  <c r="M16" i="8" a="1"/>
  <c r="M33" i="8" a="1"/>
  <c r="M52" i="8" a="1"/>
  <c r="M68" i="8" a="1"/>
  <c r="L12" i="8" a="1"/>
  <c r="L29" i="8" a="1"/>
  <c r="L46" i="8" a="1"/>
  <c r="L64" i="8" a="1"/>
  <c r="L81" i="8" a="1"/>
  <c r="J24" i="8" a="1"/>
  <c r="J41" i="8" a="1"/>
  <c r="J60" i="8" a="1"/>
  <c r="J78" i="8" a="1"/>
  <c r="K19" i="8" a="1"/>
  <c r="K38" i="8" a="1"/>
  <c r="K55" i="8" a="1"/>
  <c r="K73" i="8" a="1"/>
  <c r="I16" i="8" a="1"/>
  <c r="I33" i="8" a="1"/>
  <c r="I52" i="8" a="1"/>
  <c r="I68" i="8" a="1"/>
  <c r="H12" i="8" a="1"/>
  <c r="H29" i="8" a="1"/>
  <c r="H46" i="8" a="1"/>
  <c r="H64" i="8" a="1"/>
  <c r="H81" i="8" a="1"/>
  <c r="G24" i="8" a="1"/>
  <c r="G41" i="8" a="1"/>
  <c r="G60" i="8" a="1"/>
  <c r="G78" i="8" a="1"/>
  <c r="F19" i="8" a="1"/>
  <c r="F38" i="8" a="1"/>
  <c r="F55" i="8" a="1"/>
  <c r="F73" i="8" a="1"/>
  <c r="E16" i="8" a="1"/>
  <c r="E33" i="8" a="1"/>
  <c r="E50" i="8" a="1"/>
  <c r="E66" i="8" a="1"/>
  <c r="E82" i="8" a="1"/>
  <c r="G25" i="8" a="1"/>
  <c r="G61" i="8" a="1"/>
  <c r="F21" i="8" a="1"/>
  <c r="F56" i="8" a="1"/>
  <c r="E34" i="8" a="1"/>
  <c r="E51" i="8" a="1"/>
  <c r="M37" i="8" a="1"/>
  <c r="M72" i="8" a="1"/>
  <c r="L15" i="8" a="1"/>
  <c r="L51" i="8" a="1"/>
  <c r="K22" i="8" a="1"/>
  <c r="I18" i="8" a="1"/>
  <c r="H15" i="8" a="1"/>
  <c r="F59" i="8" a="1"/>
  <c r="I73" i="8" a="1"/>
  <c r="E71" i="8" a="1"/>
  <c r="M56" i="8" a="1"/>
  <c r="F44" i="8" a="1"/>
  <c r="E55" i="8" a="1"/>
  <c r="G16" i="8" a="1"/>
  <c r="N15" i="8" a="1"/>
  <c r="O15" i="8" a="1"/>
  <c r="D202" i="18" l="1"/>
  <c r="D202" i="19"/>
  <c r="F43" i="19"/>
  <c r="F49" i="18"/>
  <c r="F43" i="18"/>
  <c r="F49" i="19"/>
  <c r="H94" i="19"/>
  <c r="H94" i="18"/>
  <c r="I101" i="19"/>
  <c r="I101" i="18"/>
  <c r="J108" i="19"/>
  <c r="J108" i="18"/>
  <c r="K110" i="19"/>
  <c r="K110" i="18"/>
  <c r="L115" i="18"/>
  <c r="L115" i="19"/>
  <c r="E215" i="18"/>
  <c r="E215" i="19"/>
  <c r="F254" i="19"/>
  <c r="F254" i="18"/>
  <c r="L301" i="18"/>
  <c r="L301" i="19"/>
  <c r="E202" i="19"/>
  <c r="E202" i="18"/>
  <c r="G49" i="19"/>
  <c r="G43" i="19"/>
  <c r="G49" i="18"/>
  <c r="G43" i="18"/>
  <c r="I94" i="19"/>
  <c r="I94" i="18"/>
  <c r="J101" i="19"/>
  <c r="J101" i="18"/>
  <c r="K108" i="19"/>
  <c r="K108" i="18"/>
  <c r="L110" i="18"/>
  <c r="L110" i="19"/>
  <c r="B124" i="19"/>
  <c r="B124" i="18"/>
  <c r="F215" i="19"/>
  <c r="F215" i="18"/>
  <c r="G254" i="19"/>
  <c r="G254" i="18"/>
  <c r="F202" i="18"/>
  <c r="F202" i="19"/>
  <c r="H49" i="19"/>
  <c r="H43" i="19"/>
  <c r="H49" i="18"/>
  <c r="H43" i="18"/>
  <c r="J94" i="19"/>
  <c r="J94" i="18"/>
  <c r="K101" i="19"/>
  <c r="K101" i="18"/>
  <c r="L108" i="19"/>
  <c r="L108" i="18"/>
  <c r="B115" i="19"/>
  <c r="B115" i="18"/>
  <c r="C124" i="19"/>
  <c r="C124" i="18"/>
  <c r="G215" i="19"/>
  <c r="G215" i="18"/>
  <c r="H254" i="18"/>
  <c r="H254" i="19"/>
  <c r="F197" i="18"/>
  <c r="I43" i="19"/>
  <c r="I49" i="19"/>
  <c r="I49" i="18"/>
  <c r="I43" i="18"/>
  <c r="I40" i="18" s="1"/>
  <c r="I41" i="18" s="1"/>
  <c r="K94" i="19"/>
  <c r="K94" i="18"/>
  <c r="L101" i="19"/>
  <c r="L101" i="18"/>
  <c r="B110" i="19"/>
  <c r="B110" i="18"/>
  <c r="C115" i="19"/>
  <c r="C115" i="18"/>
  <c r="D124" i="19"/>
  <c r="D124" i="18"/>
  <c r="H215" i="18"/>
  <c r="H215" i="19"/>
  <c r="I254" i="18"/>
  <c r="I254" i="19"/>
  <c r="J43" i="19"/>
  <c r="J49" i="19"/>
  <c r="J49" i="18"/>
  <c r="J43" i="18"/>
  <c r="L94" i="19"/>
  <c r="L94" i="18"/>
  <c r="B108" i="19"/>
  <c r="B108" i="18"/>
  <c r="C110" i="19"/>
  <c r="C110" i="18"/>
  <c r="D115" i="19"/>
  <c r="D115" i="18"/>
  <c r="E124" i="19"/>
  <c r="E124" i="18"/>
  <c r="I215" i="18"/>
  <c r="I215" i="19"/>
  <c r="J254" i="18"/>
  <c r="J254" i="19"/>
  <c r="K43" i="19"/>
  <c r="K49" i="19"/>
  <c r="K49" i="18"/>
  <c r="K43" i="18"/>
  <c r="B101" i="19"/>
  <c r="B101" i="18"/>
  <c r="C108" i="19"/>
  <c r="C108" i="18"/>
  <c r="D110" i="19"/>
  <c r="D110" i="18"/>
  <c r="D111" i="18" s="1"/>
  <c r="E115" i="19"/>
  <c r="E115" i="18"/>
  <c r="F124" i="19"/>
  <c r="F125" i="19" s="1"/>
  <c r="F124" i="18"/>
  <c r="F125" i="18" s="1"/>
  <c r="J215" i="18"/>
  <c r="J215" i="19"/>
  <c r="K254" i="18"/>
  <c r="K254" i="19"/>
  <c r="B270" i="19"/>
  <c r="B270" i="18"/>
  <c r="L43" i="19"/>
  <c r="L49" i="19"/>
  <c r="L43" i="18"/>
  <c r="L49" i="18"/>
  <c r="B94" i="19"/>
  <c r="B94" i="18"/>
  <c r="C101" i="19"/>
  <c r="C101" i="18"/>
  <c r="D108" i="18"/>
  <c r="D108" i="19"/>
  <c r="E110" i="19"/>
  <c r="E110" i="18"/>
  <c r="F115" i="18"/>
  <c r="F115" i="19"/>
  <c r="G124" i="19"/>
  <c r="G124" i="18"/>
  <c r="G125" i="18" s="1"/>
  <c r="K215" i="18"/>
  <c r="K215" i="19"/>
  <c r="L254" i="19"/>
  <c r="L254" i="18"/>
  <c r="E296" i="18"/>
  <c r="E296" i="19"/>
  <c r="C94" i="19"/>
  <c r="C94" i="18"/>
  <c r="D101" i="19"/>
  <c r="D101" i="18"/>
  <c r="E108" i="19"/>
  <c r="E108" i="18"/>
  <c r="E109" i="18" s="1"/>
  <c r="F110" i="19"/>
  <c r="F111" i="19" s="1"/>
  <c r="F110" i="18"/>
  <c r="G115" i="18"/>
  <c r="G115" i="19"/>
  <c r="H124" i="19"/>
  <c r="H125" i="19" s="1"/>
  <c r="H124" i="18"/>
  <c r="L215" i="19"/>
  <c r="L215" i="18"/>
  <c r="C265" i="18"/>
  <c r="B49" i="19"/>
  <c r="B43" i="18"/>
  <c r="B40" i="18" s="1"/>
  <c r="B41" i="18" s="1"/>
  <c r="B43" i="19"/>
  <c r="B40" i="19" s="1"/>
  <c r="B41" i="19" s="1"/>
  <c r="B49" i="18"/>
  <c r="D94" i="19"/>
  <c r="D94" i="18"/>
  <c r="E101" i="19"/>
  <c r="E101" i="18"/>
  <c r="F108" i="19"/>
  <c r="F109" i="19" s="1"/>
  <c r="F108" i="18"/>
  <c r="G110" i="19"/>
  <c r="G110" i="18"/>
  <c r="G111" i="18" s="1"/>
  <c r="H115" i="18"/>
  <c r="H115" i="19"/>
  <c r="I124" i="19"/>
  <c r="I125" i="19" s="1"/>
  <c r="I124" i="18"/>
  <c r="I125" i="18" s="1"/>
  <c r="B254" i="18"/>
  <c r="B254" i="19"/>
  <c r="F282" i="18"/>
  <c r="F283" i="18" s="1"/>
  <c r="C43" i="19"/>
  <c r="C49" i="19"/>
  <c r="C43" i="18"/>
  <c r="C49" i="18"/>
  <c r="E94" i="19"/>
  <c r="E94" i="18"/>
  <c r="F101" i="19"/>
  <c r="F101" i="18"/>
  <c r="G108" i="19"/>
  <c r="G108" i="18"/>
  <c r="H110" i="19"/>
  <c r="H110" i="18"/>
  <c r="H111" i="18" s="1"/>
  <c r="I115" i="18"/>
  <c r="I115" i="19"/>
  <c r="J124" i="19"/>
  <c r="J124" i="18"/>
  <c r="J125" i="18" s="1"/>
  <c r="B215" i="18"/>
  <c r="B215" i="19"/>
  <c r="C254" i="19"/>
  <c r="C254" i="18"/>
  <c r="D255" i="19"/>
  <c r="B202" i="18"/>
  <c r="B202" i="19"/>
  <c r="D43" i="19"/>
  <c r="D49" i="19"/>
  <c r="D43" i="18"/>
  <c r="D49" i="18"/>
  <c r="F94" i="19"/>
  <c r="F94" i="18"/>
  <c r="G101" i="19"/>
  <c r="G101" i="18"/>
  <c r="H108" i="19"/>
  <c r="H108" i="18"/>
  <c r="I110" i="19"/>
  <c r="I110" i="18"/>
  <c r="I111" i="18" s="1"/>
  <c r="J115" i="18"/>
  <c r="J115" i="19"/>
  <c r="K124" i="19"/>
  <c r="K125" i="19" s="1"/>
  <c r="K124" i="18"/>
  <c r="C215" i="19"/>
  <c r="C215" i="18"/>
  <c r="D254" i="19"/>
  <c r="D254" i="18"/>
  <c r="C202" i="18"/>
  <c r="C202" i="19"/>
  <c r="E49" i="19"/>
  <c r="E43" i="19"/>
  <c r="E43" i="18"/>
  <c r="E49" i="18"/>
  <c r="G94" i="19"/>
  <c r="G94" i="18"/>
  <c r="H101" i="19"/>
  <c r="H101" i="18"/>
  <c r="I108" i="19"/>
  <c r="I108" i="18"/>
  <c r="J110" i="19"/>
  <c r="J111" i="19" s="1"/>
  <c r="J110" i="18"/>
  <c r="J111" i="18" s="1"/>
  <c r="J328" i="18" s="1"/>
  <c r="K115" i="19"/>
  <c r="K115" i="18"/>
  <c r="L124" i="19"/>
  <c r="L124" i="18"/>
  <c r="D172" i="18"/>
  <c r="D215" i="19"/>
  <c r="D215" i="18"/>
  <c r="E254" i="18"/>
  <c r="E254" i="19"/>
  <c r="I282" i="19"/>
  <c r="I283" i="19" s="1"/>
  <c r="K301" i="19"/>
  <c r="K301" i="18"/>
  <c r="F35" i="10"/>
  <c r="E82" i="8"/>
  <c r="E81" i="8"/>
  <c r="E80" i="8"/>
  <c r="B301" i="19" s="1"/>
  <c r="E79" i="8"/>
  <c r="E78" i="8"/>
  <c r="E75" i="8"/>
  <c r="B296" i="19" s="1"/>
  <c r="E74" i="8"/>
  <c r="E73" i="8"/>
  <c r="E72" i="8"/>
  <c r="E71" i="8"/>
  <c r="E68" i="8"/>
  <c r="B282" i="18" s="1"/>
  <c r="B283" i="18" s="1"/>
  <c r="E67" i="8"/>
  <c r="E66" i="8"/>
  <c r="E64" i="8"/>
  <c r="E63" i="8"/>
  <c r="E61" i="8"/>
  <c r="E60" i="8"/>
  <c r="E59" i="8"/>
  <c r="E56" i="8"/>
  <c r="B265" i="18" s="1"/>
  <c r="B285" i="18" s="1"/>
  <c r="E55" i="8"/>
  <c r="E54" i="8"/>
  <c r="E53" i="8"/>
  <c r="E52" i="8"/>
  <c r="E51" i="8"/>
  <c r="B257" i="9" s="1"/>
  <c r="E50" i="8"/>
  <c r="E46" i="8"/>
  <c r="E45" i="8"/>
  <c r="E44" i="8"/>
  <c r="E42" i="8"/>
  <c r="E41" i="8"/>
  <c r="E40" i="8"/>
  <c r="B197" i="18" s="1"/>
  <c r="E39" i="8"/>
  <c r="B196" i="18" s="1"/>
  <c r="E38" i="8"/>
  <c r="E37" i="8"/>
  <c r="E35" i="8"/>
  <c r="B182" i="19" s="1"/>
  <c r="E34" i="8"/>
  <c r="E33" i="8"/>
  <c r="E32" i="8"/>
  <c r="B172" i="19" s="1"/>
  <c r="B179" i="19" s="1"/>
  <c r="B180" i="19" s="1"/>
  <c r="E31" i="8"/>
  <c r="E29" i="8"/>
  <c r="E28" i="8"/>
  <c r="E25" i="8"/>
  <c r="E24" i="8"/>
  <c r="E22" i="8"/>
  <c r="E21" i="8"/>
  <c r="E19" i="8"/>
  <c r="E18" i="8"/>
  <c r="E17" i="8"/>
  <c r="E16" i="8"/>
  <c r="E15" i="8"/>
  <c r="E13" i="8"/>
  <c r="E12" i="8"/>
  <c r="E11" i="8"/>
  <c r="F82" i="8"/>
  <c r="F81" i="8"/>
  <c r="F80" i="8"/>
  <c r="C301" i="19" s="1"/>
  <c r="F79" i="8"/>
  <c r="F78" i="8"/>
  <c r="F75" i="8"/>
  <c r="C296" i="19" s="1"/>
  <c r="F74" i="8"/>
  <c r="F73" i="8"/>
  <c r="F72" i="8"/>
  <c r="F71" i="8"/>
  <c r="F68" i="8"/>
  <c r="C282" i="18" s="1"/>
  <c r="F67" i="8"/>
  <c r="F66" i="8"/>
  <c r="F64" i="8"/>
  <c r="F63" i="8"/>
  <c r="F61" i="8"/>
  <c r="F60" i="8"/>
  <c r="F59" i="8"/>
  <c r="F56" i="8"/>
  <c r="C267" i="9" s="1"/>
  <c r="F55" i="8"/>
  <c r="F54" i="8"/>
  <c r="F53" i="8"/>
  <c r="F52" i="8"/>
  <c r="F51" i="8"/>
  <c r="C257" i="9" s="1"/>
  <c r="C328" i="9" s="1"/>
  <c r="C349" i="9" s="1"/>
  <c r="F50" i="8"/>
  <c r="F46" i="8"/>
  <c r="F45" i="8"/>
  <c r="F44" i="8"/>
  <c r="F41" i="8"/>
  <c r="F40" i="8"/>
  <c r="C197" i="18" s="1"/>
  <c r="F39" i="8"/>
  <c r="C196" i="18" s="1"/>
  <c r="C210" i="18" s="1"/>
  <c r="F38" i="8"/>
  <c r="F37" i="8"/>
  <c r="F34" i="8"/>
  <c r="F33" i="8"/>
  <c r="F32" i="8"/>
  <c r="C172" i="19" s="1"/>
  <c r="F31" i="8"/>
  <c r="F29" i="8"/>
  <c r="F28" i="8"/>
  <c r="F25" i="8"/>
  <c r="F24" i="8"/>
  <c r="F22" i="8"/>
  <c r="F21" i="8"/>
  <c r="F19" i="8"/>
  <c r="F18" i="8"/>
  <c r="F17" i="8"/>
  <c r="F16" i="8"/>
  <c r="F15" i="8"/>
  <c r="F13" i="8"/>
  <c r="F12" i="8"/>
  <c r="F11" i="8"/>
  <c r="G82" i="8"/>
  <c r="G81" i="8"/>
  <c r="G80" i="8"/>
  <c r="D301" i="18" s="1"/>
  <c r="G79" i="8"/>
  <c r="G78" i="8"/>
  <c r="G75" i="8"/>
  <c r="D296" i="18" s="1"/>
  <c r="G74" i="8"/>
  <c r="G73" i="8"/>
  <c r="G72" i="8"/>
  <c r="G71" i="8"/>
  <c r="G68" i="8"/>
  <c r="D282" i="19" s="1"/>
  <c r="D283" i="19" s="1"/>
  <c r="G67" i="8"/>
  <c r="G66" i="8"/>
  <c r="G64" i="8"/>
  <c r="G63" i="8"/>
  <c r="G61" i="8"/>
  <c r="G60" i="8"/>
  <c r="G59" i="8"/>
  <c r="G56" i="8"/>
  <c r="D265" i="19" s="1"/>
  <c r="G55" i="8"/>
  <c r="G54" i="8"/>
  <c r="G53" i="8"/>
  <c r="G52" i="8"/>
  <c r="G51" i="8"/>
  <c r="D257" i="9" s="1"/>
  <c r="D328" i="9" s="1"/>
  <c r="D349" i="9" s="1"/>
  <c r="G50" i="8"/>
  <c r="G46" i="8"/>
  <c r="G45" i="8"/>
  <c r="G44" i="8"/>
  <c r="G41" i="8"/>
  <c r="G40" i="8"/>
  <c r="D197" i="18" s="1"/>
  <c r="G39" i="8"/>
  <c r="D196" i="18" s="1"/>
  <c r="G38" i="8"/>
  <c r="G37" i="8"/>
  <c r="G34" i="8"/>
  <c r="G33" i="8"/>
  <c r="G32" i="8"/>
  <c r="D172" i="19" s="1"/>
  <c r="G31" i="8"/>
  <c r="G29" i="8"/>
  <c r="G28" i="8"/>
  <c r="G25" i="8"/>
  <c r="G24" i="8"/>
  <c r="G22" i="8"/>
  <c r="G21" i="8"/>
  <c r="G19" i="8"/>
  <c r="G18" i="8"/>
  <c r="G17" i="8"/>
  <c r="G16" i="8"/>
  <c r="G15" i="8"/>
  <c r="G13" i="8"/>
  <c r="G12" i="8"/>
  <c r="G11" i="8"/>
  <c r="H82" i="8"/>
  <c r="H81" i="8"/>
  <c r="H80" i="8"/>
  <c r="E301" i="19" s="1"/>
  <c r="H79" i="8"/>
  <c r="H78" i="8"/>
  <c r="H75" i="8"/>
  <c r="H74" i="8"/>
  <c r="H73" i="8"/>
  <c r="H72" i="8"/>
  <c r="H71" i="8"/>
  <c r="H68" i="8"/>
  <c r="E282" i="19" s="1"/>
  <c r="H67" i="8"/>
  <c r="H66" i="8"/>
  <c r="H64" i="8"/>
  <c r="H63" i="8"/>
  <c r="H61" i="8"/>
  <c r="H60" i="8"/>
  <c r="H59" i="8"/>
  <c r="H56" i="8"/>
  <c r="E265" i="19" s="1"/>
  <c r="E285" i="19" s="1"/>
  <c r="H55" i="8"/>
  <c r="H54" i="8"/>
  <c r="H53" i="8"/>
  <c r="H52" i="8"/>
  <c r="H51" i="8"/>
  <c r="E255" i="18" s="1"/>
  <c r="H50" i="8"/>
  <c r="H46" i="8"/>
  <c r="H45" i="8"/>
  <c r="H44" i="8"/>
  <c r="H41" i="8"/>
  <c r="H40" i="8"/>
  <c r="E197" i="18" s="1"/>
  <c r="H39" i="8"/>
  <c r="E196" i="19" s="1"/>
  <c r="H38" i="8"/>
  <c r="H37" i="8"/>
  <c r="H34" i="8"/>
  <c r="H33" i="8"/>
  <c r="H32" i="8"/>
  <c r="E172" i="18" s="1"/>
  <c r="H31" i="8"/>
  <c r="H29" i="8"/>
  <c r="H28" i="8"/>
  <c r="H25" i="8"/>
  <c r="H24" i="8"/>
  <c r="H22" i="8"/>
  <c r="H21" i="8"/>
  <c r="H19" i="8"/>
  <c r="H18" i="8"/>
  <c r="H17" i="8"/>
  <c r="H16" i="8"/>
  <c r="H15" i="8"/>
  <c r="H13" i="8"/>
  <c r="H12" i="8"/>
  <c r="H11" i="8"/>
  <c r="I82" i="8"/>
  <c r="I81" i="8"/>
  <c r="I80" i="8"/>
  <c r="F301" i="19" s="1"/>
  <c r="I79" i="8"/>
  <c r="I78" i="8"/>
  <c r="I75" i="8"/>
  <c r="F296" i="18" s="1"/>
  <c r="I74" i="8"/>
  <c r="I73" i="8"/>
  <c r="I72" i="8"/>
  <c r="I71" i="8"/>
  <c r="I68" i="8"/>
  <c r="F282" i="19" s="1"/>
  <c r="F283" i="19" s="1"/>
  <c r="I67" i="8"/>
  <c r="I66" i="8"/>
  <c r="I64" i="8"/>
  <c r="I63" i="8"/>
  <c r="I61" i="8"/>
  <c r="I60" i="8"/>
  <c r="I59" i="8"/>
  <c r="I56" i="8"/>
  <c r="F265" i="18" s="1"/>
  <c r="F285" i="18" s="1"/>
  <c r="I55" i="8"/>
  <c r="I54" i="8"/>
  <c r="I53" i="8"/>
  <c r="I52" i="8"/>
  <c r="I51" i="8"/>
  <c r="F255" i="18" s="1"/>
  <c r="I50" i="8"/>
  <c r="I46" i="8"/>
  <c r="I45" i="8"/>
  <c r="I44" i="8"/>
  <c r="I41" i="8"/>
  <c r="I40" i="8"/>
  <c r="F197" i="19" s="1"/>
  <c r="I39" i="8"/>
  <c r="F196" i="18" s="1"/>
  <c r="I38" i="8"/>
  <c r="I37" i="8"/>
  <c r="I34" i="8"/>
  <c r="I33" i="8"/>
  <c r="I32" i="8"/>
  <c r="F172" i="18" s="1"/>
  <c r="I31" i="8"/>
  <c r="I29" i="8"/>
  <c r="I28" i="8"/>
  <c r="I25" i="8"/>
  <c r="I24" i="8"/>
  <c r="I22" i="8"/>
  <c r="I21" i="8"/>
  <c r="I19" i="8"/>
  <c r="I18" i="8"/>
  <c r="I17" i="8"/>
  <c r="I16" i="8"/>
  <c r="I15" i="8"/>
  <c r="I13" i="8"/>
  <c r="I12" i="8"/>
  <c r="I11" i="8"/>
  <c r="K82" i="8"/>
  <c r="K81" i="8"/>
  <c r="K80" i="8"/>
  <c r="H301" i="19" s="1"/>
  <c r="K79" i="8"/>
  <c r="K78" i="8"/>
  <c r="K75" i="8"/>
  <c r="H296" i="18" s="1"/>
  <c r="K74" i="8"/>
  <c r="K73" i="8"/>
  <c r="K72" i="8"/>
  <c r="K71" i="8"/>
  <c r="K68" i="8"/>
  <c r="H282" i="19" s="1"/>
  <c r="H283" i="19" s="1"/>
  <c r="K67" i="8"/>
  <c r="K66" i="8"/>
  <c r="K64" i="8"/>
  <c r="K63" i="8"/>
  <c r="K61" i="8"/>
  <c r="K60" i="8"/>
  <c r="K59" i="8"/>
  <c r="K56" i="8"/>
  <c r="H267" i="9" s="1"/>
  <c r="K55" i="8"/>
  <c r="K54" i="8"/>
  <c r="K53" i="8"/>
  <c r="K52" i="8"/>
  <c r="K51" i="8"/>
  <c r="H255" i="19" s="1"/>
  <c r="K50" i="8"/>
  <c r="K46" i="8"/>
  <c r="K45" i="8"/>
  <c r="K44" i="8"/>
  <c r="K41" i="8"/>
  <c r="H202" i="19" s="1"/>
  <c r="K40" i="8"/>
  <c r="H197" i="18" s="1"/>
  <c r="K39" i="8"/>
  <c r="H196" i="18" s="1"/>
  <c r="K38" i="8"/>
  <c r="K37" i="8"/>
  <c r="K34" i="8"/>
  <c r="K33" i="8"/>
  <c r="K32" i="8"/>
  <c r="H172" i="18" s="1"/>
  <c r="K31" i="8"/>
  <c r="K29" i="8"/>
  <c r="K28" i="8"/>
  <c r="K25" i="8"/>
  <c r="K24" i="8"/>
  <c r="K22" i="8"/>
  <c r="K21" i="8"/>
  <c r="K19" i="8"/>
  <c r="K18" i="8"/>
  <c r="K17" i="8"/>
  <c r="K16" i="8"/>
  <c r="K15" i="8"/>
  <c r="K13" i="8"/>
  <c r="K12" i="8"/>
  <c r="K11" i="8"/>
  <c r="J82" i="8"/>
  <c r="J81" i="8"/>
  <c r="J80" i="8"/>
  <c r="G301" i="19" s="1"/>
  <c r="J79" i="8"/>
  <c r="J78" i="8"/>
  <c r="J75" i="8"/>
  <c r="G296" i="18" s="1"/>
  <c r="J74" i="8"/>
  <c r="J73" i="8"/>
  <c r="J72" i="8"/>
  <c r="J71" i="8"/>
  <c r="J68" i="8"/>
  <c r="G282" i="19" s="1"/>
  <c r="G283" i="19" s="1"/>
  <c r="J67" i="8"/>
  <c r="J66" i="8"/>
  <c r="J64" i="8"/>
  <c r="J63" i="8"/>
  <c r="J61" i="8"/>
  <c r="J60" i="8"/>
  <c r="J59" i="8"/>
  <c r="J56" i="8"/>
  <c r="G265" i="19" s="1"/>
  <c r="J55" i="8"/>
  <c r="J54" i="8"/>
  <c r="J53" i="8"/>
  <c r="J52" i="8"/>
  <c r="J51" i="8"/>
  <c r="G255" i="19" s="1"/>
  <c r="J50" i="8"/>
  <c r="J46" i="8"/>
  <c r="J45" i="8"/>
  <c r="J44" i="8"/>
  <c r="J41" i="8"/>
  <c r="G202" i="18" s="1"/>
  <c r="J40" i="8"/>
  <c r="G197" i="18" s="1"/>
  <c r="J39" i="8"/>
  <c r="G196" i="18" s="1"/>
  <c r="G210" i="18" s="1"/>
  <c r="J38" i="8"/>
  <c r="J37" i="8"/>
  <c r="J34" i="8"/>
  <c r="J33" i="8"/>
  <c r="J32" i="8"/>
  <c r="G172" i="18" s="1"/>
  <c r="J31" i="8"/>
  <c r="J29" i="8"/>
  <c r="J28" i="8"/>
  <c r="J25" i="8"/>
  <c r="J24" i="8"/>
  <c r="J22" i="8"/>
  <c r="J21" i="8"/>
  <c r="J19" i="8"/>
  <c r="J18" i="8"/>
  <c r="J17" i="8"/>
  <c r="J16" i="8"/>
  <c r="J15" i="8"/>
  <c r="J13" i="8"/>
  <c r="J12" i="8"/>
  <c r="J11" i="8"/>
  <c r="L82" i="8"/>
  <c r="L81" i="8"/>
  <c r="L80" i="8"/>
  <c r="I301" i="19" s="1"/>
  <c r="L79" i="8"/>
  <c r="L78" i="8"/>
  <c r="L75" i="8"/>
  <c r="I296" i="18" s="1"/>
  <c r="L74" i="8"/>
  <c r="L73" i="8"/>
  <c r="L72" i="8"/>
  <c r="L71" i="8"/>
  <c r="L68" i="8"/>
  <c r="I282" i="18" s="1"/>
  <c r="I283" i="18" s="1"/>
  <c r="L67" i="8"/>
  <c r="L66" i="8"/>
  <c r="L64" i="8"/>
  <c r="L63" i="8"/>
  <c r="L61" i="8"/>
  <c r="L60" i="8"/>
  <c r="L59" i="8"/>
  <c r="L56" i="8"/>
  <c r="I265" i="19" s="1"/>
  <c r="L55" i="8"/>
  <c r="L54" i="8"/>
  <c r="L53" i="8"/>
  <c r="L52" i="8"/>
  <c r="L51" i="8"/>
  <c r="I255" i="18" s="1"/>
  <c r="L50" i="8"/>
  <c r="L46" i="8"/>
  <c r="L45" i="8"/>
  <c r="L44" i="8"/>
  <c r="L41" i="8"/>
  <c r="I202" i="18" s="1"/>
  <c r="L40" i="8"/>
  <c r="I197" i="18" s="1"/>
  <c r="L39" i="8"/>
  <c r="I196" i="18" s="1"/>
  <c r="I210" i="18" s="1"/>
  <c r="L38" i="8"/>
  <c r="L37" i="8"/>
  <c r="L34" i="8"/>
  <c r="L33" i="8"/>
  <c r="L32" i="8"/>
  <c r="I172" i="18" s="1"/>
  <c r="L31" i="8"/>
  <c r="L29" i="8"/>
  <c r="L28" i="8"/>
  <c r="L25" i="8"/>
  <c r="L24" i="8"/>
  <c r="L22" i="8"/>
  <c r="L21" i="8"/>
  <c r="L19" i="8"/>
  <c r="L18" i="8"/>
  <c r="L17" i="8"/>
  <c r="L16" i="8"/>
  <c r="L15" i="8"/>
  <c r="L13" i="8"/>
  <c r="L12" i="8"/>
  <c r="L11" i="8"/>
  <c r="M82" i="8"/>
  <c r="M81" i="8"/>
  <c r="M80" i="8"/>
  <c r="J301" i="19" s="1"/>
  <c r="M79" i="8"/>
  <c r="M78" i="8"/>
  <c r="M75" i="8"/>
  <c r="J296" i="18" s="1"/>
  <c r="M74" i="8"/>
  <c r="M73" i="8"/>
  <c r="M72" i="8"/>
  <c r="M71" i="8"/>
  <c r="M68" i="8"/>
  <c r="J282" i="18" s="1"/>
  <c r="J283" i="18" s="1"/>
  <c r="M67" i="8"/>
  <c r="M66" i="8"/>
  <c r="M64" i="8"/>
  <c r="M63" i="8"/>
  <c r="M61" i="8"/>
  <c r="M60" i="8"/>
  <c r="M59" i="8"/>
  <c r="M56" i="8"/>
  <c r="J265" i="18" s="1"/>
  <c r="J285" i="18" s="1"/>
  <c r="M55" i="8"/>
  <c r="M54" i="8"/>
  <c r="M53" i="8"/>
  <c r="M52" i="8"/>
  <c r="M51" i="8"/>
  <c r="J255" i="18" s="1"/>
  <c r="J326" i="18" s="1"/>
  <c r="J347" i="18" s="1"/>
  <c r="M50" i="8"/>
  <c r="M46" i="8"/>
  <c r="M45" i="8"/>
  <c r="M44" i="8"/>
  <c r="M41" i="8"/>
  <c r="J202" i="19" s="1"/>
  <c r="M40" i="8"/>
  <c r="J197" i="18" s="1"/>
  <c r="M39" i="8"/>
  <c r="J196" i="18" s="1"/>
  <c r="M38" i="8"/>
  <c r="M37" i="8"/>
  <c r="M34" i="8"/>
  <c r="M33" i="8"/>
  <c r="M32" i="8"/>
  <c r="J172" i="19" s="1"/>
  <c r="M31" i="8"/>
  <c r="M29" i="8"/>
  <c r="M28" i="8"/>
  <c r="M25" i="8"/>
  <c r="M24" i="8"/>
  <c r="M22" i="8"/>
  <c r="M21" i="8"/>
  <c r="M19" i="8"/>
  <c r="M18" i="8"/>
  <c r="M17" i="8"/>
  <c r="M16" i="8"/>
  <c r="M15" i="8"/>
  <c r="M13" i="8"/>
  <c r="M12" i="8"/>
  <c r="M11" i="8"/>
  <c r="N82" i="8"/>
  <c r="N81" i="8"/>
  <c r="N80" i="8"/>
  <c r="N79" i="8"/>
  <c r="N78" i="8"/>
  <c r="N75" i="8"/>
  <c r="K296" i="19" s="1"/>
  <c r="N74" i="8"/>
  <c r="N73" i="8"/>
  <c r="N72" i="8"/>
  <c r="N71" i="8"/>
  <c r="N68" i="8"/>
  <c r="K282" i="18" s="1"/>
  <c r="K283" i="18" s="1"/>
  <c r="N67" i="8"/>
  <c r="N66" i="8"/>
  <c r="N64" i="8"/>
  <c r="N63" i="8"/>
  <c r="N61" i="8"/>
  <c r="N60" i="8"/>
  <c r="N59" i="8"/>
  <c r="N56" i="8"/>
  <c r="K265" i="18" s="1"/>
  <c r="K285" i="18" s="1"/>
  <c r="N55" i="8"/>
  <c r="N54" i="8"/>
  <c r="N53" i="8"/>
  <c r="N52" i="8"/>
  <c r="N51" i="8"/>
  <c r="K255" i="18" s="1"/>
  <c r="N50" i="8"/>
  <c r="N46" i="8"/>
  <c r="N45" i="8"/>
  <c r="N44" i="8"/>
  <c r="N41" i="8"/>
  <c r="K202" i="19" s="1"/>
  <c r="N40" i="8"/>
  <c r="K197" i="18" s="1"/>
  <c r="N39" i="8"/>
  <c r="K196" i="19" s="1"/>
  <c r="N38" i="8"/>
  <c r="N37" i="8"/>
  <c r="N34" i="8"/>
  <c r="N33" i="8"/>
  <c r="N31" i="8"/>
  <c r="N29" i="8"/>
  <c r="N28" i="8"/>
  <c r="N25" i="8"/>
  <c r="N24" i="8"/>
  <c r="N22" i="8"/>
  <c r="N21" i="8"/>
  <c r="N18" i="8"/>
  <c r="N17" i="8"/>
  <c r="N16" i="8"/>
  <c r="N15" i="8"/>
  <c r="N13" i="8"/>
  <c r="N12" i="8"/>
  <c r="N11" i="8"/>
  <c r="O82" i="8"/>
  <c r="O81" i="8"/>
  <c r="O80" i="8"/>
  <c r="O79" i="8"/>
  <c r="O78" i="8"/>
  <c r="O75" i="8"/>
  <c r="L296" i="19" s="1"/>
  <c r="O74" i="8"/>
  <c r="O73" i="8"/>
  <c r="O72" i="8"/>
  <c r="O71" i="8"/>
  <c r="O68" i="8"/>
  <c r="L282" i="18" s="1"/>
  <c r="L283" i="18" s="1"/>
  <c r="O67" i="8"/>
  <c r="O66" i="8"/>
  <c r="O64" i="8"/>
  <c r="O63" i="8"/>
  <c r="O61" i="8"/>
  <c r="O59" i="8"/>
  <c r="O56" i="8"/>
  <c r="L265" i="19" s="1"/>
  <c r="O55" i="8"/>
  <c r="O53" i="8"/>
  <c r="O52" i="8"/>
  <c r="O51" i="8"/>
  <c r="L255" i="18" s="1"/>
  <c r="O50" i="8"/>
  <c r="O46" i="8"/>
  <c r="O45" i="8"/>
  <c r="O44" i="8"/>
  <c r="O39" i="8"/>
  <c r="L196" i="19" s="1"/>
  <c r="O38" i="8"/>
  <c r="O34" i="8"/>
  <c r="O33" i="8"/>
  <c r="O31" i="8"/>
  <c r="O29" i="8"/>
  <c r="O28" i="8"/>
  <c r="O25" i="8"/>
  <c r="O21" i="8"/>
  <c r="O19" i="8"/>
  <c r="O17" i="8"/>
  <c r="O16" i="8"/>
  <c r="O15" i="8"/>
  <c r="O13" i="8"/>
  <c r="O12" i="8"/>
  <c r="O11" i="8"/>
  <c r="L303" i="9"/>
  <c r="G256" i="9"/>
  <c r="H256" i="9"/>
  <c r="K115" i="9"/>
  <c r="I256" i="9"/>
  <c r="L256" i="9"/>
  <c r="F256" i="9"/>
  <c r="L108" i="9"/>
  <c r="J256" i="9"/>
  <c r="K256" i="9"/>
  <c r="B256" i="9"/>
  <c r="C94" i="9"/>
  <c r="C256" i="9"/>
  <c r="D256" i="9"/>
  <c r="E256" i="9"/>
  <c r="K303" i="9"/>
  <c r="G257" i="9"/>
  <c r="G328" i="9" s="1"/>
  <c r="G349" i="9" s="1"/>
  <c r="D267" i="9"/>
  <c r="E257" i="9"/>
  <c r="E328" i="9" s="1"/>
  <c r="E349" i="9" s="1"/>
  <c r="K43" i="9"/>
  <c r="K40" i="9" s="1"/>
  <c r="K41" i="9" s="1"/>
  <c r="E43" i="9"/>
  <c r="E40" i="9" s="1"/>
  <c r="E41" i="9" s="1"/>
  <c r="C43" i="9"/>
  <c r="C40" i="9" s="1"/>
  <c r="C41" i="9" s="1"/>
  <c r="J43" i="9"/>
  <c r="J40" i="9" s="1"/>
  <c r="J41" i="9" s="1"/>
  <c r="H43" i="9"/>
  <c r="H40" i="9" s="1"/>
  <c r="H41" i="9" s="1"/>
  <c r="G43" i="9"/>
  <c r="G40" i="9" s="1"/>
  <c r="G41" i="9" s="1"/>
  <c r="F43" i="9"/>
  <c r="F40" i="9" s="1"/>
  <c r="F41" i="9" s="1"/>
  <c r="D43" i="9"/>
  <c r="D40" i="9" s="1"/>
  <c r="D41" i="9" s="1"/>
  <c r="B43" i="9"/>
  <c r="B40" i="9" s="1"/>
  <c r="B41" i="9" s="1"/>
  <c r="L43" i="9"/>
  <c r="L40" i="9" s="1"/>
  <c r="L41" i="9" s="1"/>
  <c r="I43" i="9"/>
  <c r="I40" i="9" s="1"/>
  <c r="I41" i="9" s="1"/>
  <c r="N19" i="8" a="1"/>
  <c r="N32" i="8" a="1"/>
  <c r="O60" i="8" a="1"/>
  <c r="O41" i="8" a="1"/>
  <c r="O37" i="8" a="1"/>
  <c r="O24" i="8" a="1"/>
  <c r="O18" i="8" a="1"/>
  <c r="O40" i="8" a="1"/>
  <c r="O32" i="8" a="1"/>
  <c r="O22" i="8" a="1"/>
  <c r="O54" i="8" a="1"/>
  <c r="E255" i="19" l="1"/>
  <c r="H296" i="19"/>
  <c r="F196" i="19"/>
  <c r="F210" i="19" s="1"/>
  <c r="L125" i="18"/>
  <c r="G282" i="18"/>
  <c r="G283" i="18" s="1"/>
  <c r="D265" i="18"/>
  <c r="G125" i="19"/>
  <c r="H197" i="19"/>
  <c r="J255" i="19"/>
  <c r="I285" i="19"/>
  <c r="L125" i="19"/>
  <c r="E265" i="18"/>
  <c r="C255" i="18"/>
  <c r="G196" i="19"/>
  <c r="G210" i="19" s="1"/>
  <c r="J197" i="19"/>
  <c r="D301" i="19"/>
  <c r="K296" i="18"/>
  <c r="I196" i="19"/>
  <c r="I210" i="19" s="1"/>
  <c r="H196" i="19"/>
  <c r="C296" i="18"/>
  <c r="E283" i="19"/>
  <c r="K125" i="18"/>
  <c r="F301" i="18"/>
  <c r="D125" i="18"/>
  <c r="F267" i="9"/>
  <c r="G265" i="18"/>
  <c r="B197" i="19"/>
  <c r="F111" i="18"/>
  <c r="D125" i="19"/>
  <c r="F265" i="19"/>
  <c r="J125" i="19"/>
  <c r="K197" i="19"/>
  <c r="I172" i="19"/>
  <c r="J96" i="18"/>
  <c r="G111" i="19"/>
  <c r="G328" i="19" s="1"/>
  <c r="J196" i="19"/>
  <c r="B96" i="18"/>
  <c r="B111" i="18"/>
  <c r="C283" i="18"/>
  <c r="L196" i="18"/>
  <c r="L210" i="18" s="1"/>
  <c r="E282" i="18"/>
  <c r="E283" i="18" s="1"/>
  <c r="O54" i="8"/>
  <c r="O22" i="8"/>
  <c r="O32" i="8"/>
  <c r="O40" i="8"/>
  <c r="O18" i="8"/>
  <c r="O24" i="8"/>
  <c r="O37" i="8"/>
  <c r="O41" i="8"/>
  <c r="O60" i="8"/>
  <c r="N32" i="8"/>
  <c r="N19" i="8"/>
  <c r="J349" i="18"/>
  <c r="I349" i="18"/>
  <c r="H330" i="18"/>
  <c r="H348" i="18" s="1"/>
  <c r="G285" i="19"/>
  <c r="D210" i="18"/>
  <c r="D285" i="19"/>
  <c r="I326" i="18"/>
  <c r="I347" i="18" s="1"/>
  <c r="I256" i="18"/>
  <c r="K326" i="18"/>
  <c r="K347" i="18" s="1"/>
  <c r="K256" i="18"/>
  <c r="H326" i="19"/>
  <c r="H347" i="19" s="1"/>
  <c r="H256" i="19"/>
  <c r="L326" i="18"/>
  <c r="L347" i="18" s="1"/>
  <c r="L256" i="18"/>
  <c r="G349" i="18"/>
  <c r="F256" i="18"/>
  <c r="F326" i="18"/>
  <c r="F347" i="18" s="1"/>
  <c r="D349" i="18"/>
  <c r="H210" i="18"/>
  <c r="J210" i="18"/>
  <c r="F210" i="18"/>
  <c r="L210" i="19"/>
  <c r="G256" i="19"/>
  <c r="G326" i="19"/>
  <c r="G347" i="19" s="1"/>
  <c r="K210" i="19"/>
  <c r="G330" i="18"/>
  <c r="G348" i="18" s="1"/>
  <c r="I330" i="18"/>
  <c r="I348" i="18" s="1"/>
  <c r="H349" i="18"/>
  <c r="E210" i="19"/>
  <c r="K257" i="18"/>
  <c r="K258" i="18" s="1"/>
  <c r="K257" i="19"/>
  <c r="K258" i="19" s="1"/>
  <c r="J221" i="18"/>
  <c r="J221" i="19"/>
  <c r="I122" i="18"/>
  <c r="I122" i="19"/>
  <c r="I272" i="19"/>
  <c r="I272" i="18"/>
  <c r="G294" i="18"/>
  <c r="G294" i="19"/>
  <c r="H167" i="18"/>
  <c r="H167" i="19"/>
  <c r="F221" i="19"/>
  <c r="F221" i="18"/>
  <c r="F277" i="18"/>
  <c r="F278" i="18" s="1"/>
  <c r="F277" i="19"/>
  <c r="F278" i="19" s="1"/>
  <c r="F302" i="19"/>
  <c r="F303" i="19" s="1"/>
  <c r="F302" i="18"/>
  <c r="F303" i="18" s="1"/>
  <c r="E299" i="18"/>
  <c r="E299" i="19"/>
  <c r="D294" i="18"/>
  <c r="D294" i="19"/>
  <c r="C257" i="18"/>
  <c r="D258" i="18" s="1"/>
  <c r="C257" i="19"/>
  <c r="D258" i="19" s="1"/>
  <c r="B273" i="18"/>
  <c r="B273" i="19"/>
  <c r="K345" i="19"/>
  <c r="K116" i="19"/>
  <c r="K324" i="19"/>
  <c r="D44" i="19"/>
  <c r="D40" i="19"/>
  <c r="D41" i="19" s="1"/>
  <c r="L214" i="18"/>
  <c r="L214" i="19"/>
  <c r="L273" i="19"/>
  <c r="L273" i="18"/>
  <c r="L300" i="18"/>
  <c r="L300" i="19"/>
  <c r="K295" i="18"/>
  <c r="K295" i="19"/>
  <c r="J103" i="19"/>
  <c r="J103" i="18"/>
  <c r="J168" i="18"/>
  <c r="J168" i="19"/>
  <c r="J291" i="18"/>
  <c r="J292" i="18" s="1"/>
  <c r="J291" i="19"/>
  <c r="J292" i="19" s="1"/>
  <c r="I280" i="18"/>
  <c r="I280" i="19"/>
  <c r="G214" i="18"/>
  <c r="G214" i="19"/>
  <c r="G273" i="18"/>
  <c r="G273" i="19"/>
  <c r="G300" i="18"/>
  <c r="G300" i="19"/>
  <c r="F103" i="19"/>
  <c r="F106" i="19" s="1"/>
  <c r="F103" i="18"/>
  <c r="E280" i="18"/>
  <c r="E280" i="19"/>
  <c r="C295" i="19"/>
  <c r="C295" i="18"/>
  <c r="K196" i="18"/>
  <c r="K349" i="18" s="1"/>
  <c r="L260" i="18"/>
  <c r="L92" i="18"/>
  <c r="L89" i="18" s="1"/>
  <c r="L90" i="18" s="1"/>
  <c r="L50" i="18"/>
  <c r="L46" i="18"/>
  <c r="L47" i="18" s="1"/>
  <c r="K44" i="18"/>
  <c r="K40" i="18"/>
  <c r="K41" i="18" s="1"/>
  <c r="B301" i="18"/>
  <c r="G172" i="19"/>
  <c r="K282" i="19"/>
  <c r="K283" i="19" s="1"/>
  <c r="K270" i="18"/>
  <c r="K270" i="19"/>
  <c r="L221" i="18"/>
  <c r="L221" i="19"/>
  <c r="L277" i="18"/>
  <c r="L278" i="18" s="1"/>
  <c r="L277" i="19"/>
  <c r="L278" i="19" s="1"/>
  <c r="L302" i="19"/>
  <c r="L303" i="19" s="1"/>
  <c r="L302" i="18"/>
  <c r="L303" i="18" s="1"/>
  <c r="K122" i="18"/>
  <c r="K122" i="19"/>
  <c r="K272" i="18"/>
  <c r="K272" i="19"/>
  <c r="K299" i="18"/>
  <c r="K299" i="19"/>
  <c r="J294" i="18"/>
  <c r="J294" i="19"/>
  <c r="I167" i="19"/>
  <c r="I167" i="18"/>
  <c r="I257" i="18"/>
  <c r="I258" i="18" s="1"/>
  <c r="I257" i="19"/>
  <c r="I258" i="19" s="1"/>
  <c r="G221" i="18"/>
  <c r="G221" i="19"/>
  <c r="G277" i="18"/>
  <c r="G278" i="18" s="1"/>
  <c r="G277" i="19"/>
  <c r="G278" i="19" s="1"/>
  <c r="G302" i="19"/>
  <c r="G303" i="19" s="1"/>
  <c r="G302" i="18"/>
  <c r="G303" i="18" s="1"/>
  <c r="H122" i="18"/>
  <c r="H122" i="19"/>
  <c r="H272" i="18"/>
  <c r="H272" i="19"/>
  <c r="H299" i="18"/>
  <c r="H299" i="19"/>
  <c r="F294" i="18"/>
  <c r="F294" i="19"/>
  <c r="E167" i="18"/>
  <c r="E167" i="19"/>
  <c r="E257" i="18"/>
  <c r="E258" i="18" s="1"/>
  <c r="E257" i="19"/>
  <c r="E258" i="19" s="1"/>
  <c r="D221" i="18"/>
  <c r="D221" i="19"/>
  <c r="D277" i="18"/>
  <c r="D278" i="18" s="1"/>
  <c r="D277" i="19"/>
  <c r="D278" i="19" s="1"/>
  <c r="D302" i="19"/>
  <c r="D303" i="19" s="1"/>
  <c r="D302" i="18"/>
  <c r="D303" i="18" s="1"/>
  <c r="C122" i="19"/>
  <c r="C218" i="19" s="1"/>
  <c r="C219" i="19" s="1"/>
  <c r="C122" i="18"/>
  <c r="C272" i="18"/>
  <c r="C272" i="19"/>
  <c r="C299" i="19"/>
  <c r="C299" i="18"/>
  <c r="B258" i="18"/>
  <c r="B258" i="19"/>
  <c r="B291" i="19"/>
  <c r="B292" i="19" s="1"/>
  <c r="B291" i="18"/>
  <c r="B292" i="18" s="1"/>
  <c r="J301" i="18"/>
  <c r="I301" i="18"/>
  <c r="F328" i="19"/>
  <c r="F99" i="19"/>
  <c r="H301" i="18"/>
  <c r="B182" i="18"/>
  <c r="D95" i="19"/>
  <c r="D96" i="19"/>
  <c r="D97" i="19" s="1"/>
  <c r="G301" i="18"/>
  <c r="C95" i="19"/>
  <c r="C96" i="19"/>
  <c r="D282" i="18"/>
  <c r="D283" i="18" s="1"/>
  <c r="F345" i="19"/>
  <c r="F113" i="19"/>
  <c r="F324" i="19"/>
  <c r="F116" i="19"/>
  <c r="L260" i="19"/>
  <c r="L46" i="19"/>
  <c r="L47" i="19" s="1"/>
  <c r="L50" i="19"/>
  <c r="L92" i="19"/>
  <c r="L89" i="19" s="1"/>
  <c r="L90" i="19" s="1"/>
  <c r="C282" i="19"/>
  <c r="C283" i="19" s="1"/>
  <c r="K260" i="19"/>
  <c r="K50" i="19"/>
  <c r="K46" i="19"/>
  <c r="K47" i="19" s="1"/>
  <c r="K92" i="19"/>
  <c r="K89" i="19" s="1"/>
  <c r="K90" i="19" s="1"/>
  <c r="B282" i="19"/>
  <c r="B283" i="19" s="1"/>
  <c r="E125" i="18"/>
  <c r="J260" i="19"/>
  <c r="J92" i="19"/>
  <c r="J89" i="19" s="1"/>
  <c r="J90" i="19" s="1"/>
  <c r="J50" i="19"/>
  <c r="J46" i="19"/>
  <c r="J47" i="19" s="1"/>
  <c r="C301" i="18"/>
  <c r="H172" i="19"/>
  <c r="L282" i="19"/>
  <c r="L283" i="19" s="1"/>
  <c r="C125" i="18"/>
  <c r="H44" i="19"/>
  <c r="H40" i="19"/>
  <c r="H41" i="19" s="1"/>
  <c r="I265" i="18"/>
  <c r="I285" i="18" s="1"/>
  <c r="I286" i="18" s="1"/>
  <c r="L111" i="19"/>
  <c r="M111" i="19" s="1"/>
  <c r="M110" i="19"/>
  <c r="J282" i="19"/>
  <c r="J283" i="19" s="1"/>
  <c r="L116" i="19"/>
  <c r="M151" i="19"/>
  <c r="L113" i="19"/>
  <c r="L324" i="19"/>
  <c r="L345" i="19"/>
  <c r="F260" i="18"/>
  <c r="F92" i="18"/>
  <c r="F89" i="18" s="1"/>
  <c r="F90" i="18" s="1"/>
  <c r="F50" i="18"/>
  <c r="L294" i="18"/>
  <c r="L294" i="19"/>
  <c r="B103" i="19"/>
  <c r="B103" i="18"/>
  <c r="C182" i="18"/>
  <c r="C182" i="19"/>
  <c r="H109" i="19"/>
  <c r="G109" i="19"/>
  <c r="J210" i="19"/>
  <c r="N196" i="19"/>
  <c r="O196" i="19" s="1"/>
  <c r="D296" i="19"/>
  <c r="J172" i="18"/>
  <c r="J330" i="18" s="1"/>
  <c r="J348" i="18" s="1"/>
  <c r="J44" i="18"/>
  <c r="J40" i="18"/>
  <c r="J41" i="18" s="1"/>
  <c r="K95" i="18"/>
  <c r="K96" i="18"/>
  <c r="K97" i="18" s="1"/>
  <c r="I44" i="18"/>
  <c r="H44" i="18"/>
  <c r="H40" i="18"/>
  <c r="H41" i="18" s="1"/>
  <c r="G44" i="19"/>
  <c r="G40" i="19"/>
  <c r="G41" i="19" s="1"/>
  <c r="L280" i="18"/>
  <c r="L280" i="19"/>
  <c r="K214" i="19"/>
  <c r="K214" i="18"/>
  <c r="K273" i="18"/>
  <c r="K273" i="19"/>
  <c r="K300" i="18"/>
  <c r="K300" i="19"/>
  <c r="J295" i="18"/>
  <c r="J295" i="19"/>
  <c r="I103" i="19"/>
  <c r="I103" i="18"/>
  <c r="I168" i="18"/>
  <c r="I168" i="19"/>
  <c r="I291" i="18"/>
  <c r="I292" i="18" s="1"/>
  <c r="I291" i="19"/>
  <c r="I292" i="19" s="1"/>
  <c r="G280" i="19"/>
  <c r="G280" i="18"/>
  <c r="H214" i="18"/>
  <c r="H214" i="19"/>
  <c r="H273" i="18"/>
  <c r="H273" i="19"/>
  <c r="H300" i="18"/>
  <c r="H300" i="19"/>
  <c r="F295" i="18"/>
  <c r="F295" i="19"/>
  <c r="E103" i="19"/>
  <c r="E103" i="18"/>
  <c r="E106" i="18" s="1"/>
  <c r="E168" i="18"/>
  <c r="E176" i="18" s="1"/>
  <c r="E168" i="19"/>
  <c r="E176" i="19" s="1"/>
  <c r="E203" i="19" s="1"/>
  <c r="E291" i="18"/>
  <c r="E292" i="18" s="1"/>
  <c r="E291" i="19"/>
  <c r="E292" i="19" s="1"/>
  <c r="D280" i="18"/>
  <c r="D280" i="19"/>
  <c r="C214" i="19"/>
  <c r="C214" i="18"/>
  <c r="C273" i="18"/>
  <c r="C273" i="19"/>
  <c r="C300" i="18"/>
  <c r="C300" i="19"/>
  <c r="B293" i="18"/>
  <c r="B293" i="19"/>
  <c r="J296" i="19"/>
  <c r="G95" i="18"/>
  <c r="G96" i="18"/>
  <c r="G97" i="18" s="1"/>
  <c r="I296" i="19"/>
  <c r="C172" i="18"/>
  <c r="D330" i="18" s="1"/>
  <c r="D348" i="18" s="1"/>
  <c r="F96" i="18"/>
  <c r="F95" i="18"/>
  <c r="B172" i="18"/>
  <c r="B179" i="18" s="1"/>
  <c r="B180" i="18" s="1"/>
  <c r="E95" i="18"/>
  <c r="E96" i="18"/>
  <c r="G296" i="19"/>
  <c r="B271" i="18"/>
  <c r="B46" i="18"/>
  <c r="B47" i="18" s="1"/>
  <c r="B260" i="18"/>
  <c r="B264" i="18"/>
  <c r="B92" i="18"/>
  <c r="F296" i="19"/>
  <c r="H125" i="18"/>
  <c r="K202" i="18"/>
  <c r="F116" i="18"/>
  <c r="F324" i="18"/>
  <c r="F113" i="18"/>
  <c r="F345" i="18"/>
  <c r="L44" i="19"/>
  <c r="L40" i="19"/>
  <c r="L41" i="19" s="1"/>
  <c r="K44" i="19"/>
  <c r="K40" i="19"/>
  <c r="K41" i="19" s="1"/>
  <c r="E125" i="19"/>
  <c r="J44" i="19"/>
  <c r="J40" i="19"/>
  <c r="J41" i="19" s="1"/>
  <c r="I46" i="18"/>
  <c r="I47" i="18" s="1"/>
  <c r="I92" i="18"/>
  <c r="I89" i="18" s="1"/>
  <c r="I90" i="18" s="1"/>
  <c r="I260" i="18"/>
  <c r="I50" i="18"/>
  <c r="C125" i="19"/>
  <c r="H50" i="19"/>
  <c r="H260" i="19"/>
  <c r="H46" i="19"/>
  <c r="H47" i="19" s="1"/>
  <c r="H92" i="19"/>
  <c r="H89" i="19" s="1"/>
  <c r="H90" i="19" s="1"/>
  <c r="L111" i="18"/>
  <c r="M111" i="18" s="1"/>
  <c r="M110" i="18" s="1"/>
  <c r="L345" i="18"/>
  <c r="M151" i="18"/>
  <c r="L116" i="18"/>
  <c r="L324" i="18"/>
  <c r="F46" i="19"/>
  <c r="F47" i="19" s="1"/>
  <c r="F44" i="19"/>
  <c r="F40" i="19"/>
  <c r="F41" i="19" s="1"/>
  <c r="K167" i="18"/>
  <c r="K167" i="19"/>
  <c r="J302" i="18"/>
  <c r="J303" i="18" s="1"/>
  <c r="J302" i="19"/>
  <c r="J303" i="19" s="1"/>
  <c r="I299" i="19"/>
  <c r="I299" i="18"/>
  <c r="H257" i="18"/>
  <c r="H258" i="18" s="1"/>
  <c r="H257" i="19"/>
  <c r="H258" i="19" s="1"/>
  <c r="E122" i="18"/>
  <c r="E122" i="19"/>
  <c r="B300" i="19"/>
  <c r="B300" i="18"/>
  <c r="D285" i="18"/>
  <c r="L281" i="18"/>
  <c r="L281" i="19"/>
  <c r="K275" i="19"/>
  <c r="K276" i="19" s="1"/>
  <c r="K275" i="18"/>
  <c r="K276" i="18" s="1"/>
  <c r="J270" i="19"/>
  <c r="J270" i="18"/>
  <c r="I104" i="19"/>
  <c r="I104" i="18"/>
  <c r="I293" i="18"/>
  <c r="I293" i="19"/>
  <c r="G281" i="19"/>
  <c r="G281" i="18"/>
  <c r="H275" i="19"/>
  <c r="H276" i="19" s="1"/>
  <c r="H275" i="18"/>
  <c r="H276" i="18" s="1"/>
  <c r="F270" i="18"/>
  <c r="F270" i="19"/>
  <c r="E293" i="18"/>
  <c r="E293" i="19"/>
  <c r="D281" i="18"/>
  <c r="D281" i="19"/>
  <c r="C275" i="18"/>
  <c r="C276" i="18" s="1"/>
  <c r="C275" i="19"/>
  <c r="C276" i="19" s="1"/>
  <c r="B294" i="19"/>
  <c r="B294" i="18"/>
  <c r="E95" i="19"/>
  <c r="E96" i="19"/>
  <c r="E97" i="19" s="1"/>
  <c r="B265" i="19"/>
  <c r="E111" i="18"/>
  <c r="J202" i="18"/>
  <c r="E113" i="18"/>
  <c r="E345" i="18"/>
  <c r="E116" i="18"/>
  <c r="E324" i="18"/>
  <c r="I202" i="19"/>
  <c r="L265" i="18"/>
  <c r="L285" i="18" s="1"/>
  <c r="D345" i="18"/>
  <c r="D113" i="18"/>
  <c r="D324" i="18"/>
  <c r="D116" i="18"/>
  <c r="H202" i="18"/>
  <c r="B296" i="18"/>
  <c r="I260" i="19"/>
  <c r="I50" i="19"/>
  <c r="I46" i="19"/>
  <c r="I47" i="19" s="1"/>
  <c r="I92" i="19"/>
  <c r="I89" i="19" s="1"/>
  <c r="I90" i="19" s="1"/>
  <c r="J265" i="19"/>
  <c r="J285" i="19" s="1"/>
  <c r="J286" i="19" s="1"/>
  <c r="B113" i="18"/>
  <c r="H255" i="18"/>
  <c r="K113" i="18"/>
  <c r="K109" i="18"/>
  <c r="D197" i="19"/>
  <c r="H265" i="19"/>
  <c r="H285" i="19" s="1"/>
  <c r="K111" i="18"/>
  <c r="B214" i="19"/>
  <c r="B214" i="18"/>
  <c r="E260" i="19"/>
  <c r="E50" i="19"/>
  <c r="E92" i="19"/>
  <c r="E89" i="19" s="1"/>
  <c r="E90" i="19" s="1"/>
  <c r="E46" i="19"/>
  <c r="E47" i="19" s="1"/>
  <c r="I109" i="19"/>
  <c r="G96" i="19"/>
  <c r="G95" i="19"/>
  <c r="F95" i="19"/>
  <c r="F96" i="19"/>
  <c r="E267" i="9"/>
  <c r="L167" i="18"/>
  <c r="L167" i="19"/>
  <c r="L257" i="18"/>
  <c r="L258" i="18" s="1"/>
  <c r="L257" i="19"/>
  <c r="L258" i="19" s="1"/>
  <c r="K221" i="19"/>
  <c r="K221" i="18"/>
  <c r="K277" i="19"/>
  <c r="K278" i="19" s="1"/>
  <c r="K277" i="18"/>
  <c r="K278" i="18" s="1"/>
  <c r="K302" i="18"/>
  <c r="K303" i="18" s="1"/>
  <c r="K302" i="19"/>
  <c r="K303" i="19" s="1"/>
  <c r="J122" i="19"/>
  <c r="J122" i="18"/>
  <c r="J272" i="18"/>
  <c r="J272" i="19"/>
  <c r="J299" i="18"/>
  <c r="J299" i="19"/>
  <c r="I294" i="18"/>
  <c r="I294" i="19"/>
  <c r="G167" i="18"/>
  <c r="G167" i="19"/>
  <c r="G257" i="19"/>
  <c r="G258" i="19" s="1"/>
  <c r="G257" i="18"/>
  <c r="G258" i="18" s="1"/>
  <c r="H221" i="18"/>
  <c r="H221" i="19"/>
  <c r="H277" i="19"/>
  <c r="H278" i="19" s="1"/>
  <c r="H277" i="18"/>
  <c r="H278" i="18" s="1"/>
  <c r="H302" i="18"/>
  <c r="H303" i="18" s="1"/>
  <c r="H302" i="19"/>
  <c r="H303" i="19" s="1"/>
  <c r="F122" i="18"/>
  <c r="F122" i="19"/>
  <c r="F272" i="18"/>
  <c r="F272" i="19"/>
  <c r="F299" i="18"/>
  <c r="F299" i="19"/>
  <c r="E294" i="18"/>
  <c r="E294" i="19"/>
  <c r="D167" i="18"/>
  <c r="D167" i="19"/>
  <c r="D257" i="18"/>
  <c r="D257" i="19"/>
  <c r="C221" i="19"/>
  <c r="C221" i="18"/>
  <c r="C277" i="18"/>
  <c r="C278" i="18" s="1"/>
  <c r="C277" i="19"/>
  <c r="C278" i="19" s="1"/>
  <c r="C302" i="19"/>
  <c r="C303" i="19" s="1"/>
  <c r="C302" i="18"/>
  <c r="C303" i="18" s="1"/>
  <c r="B122" i="19"/>
  <c r="C123" i="19" s="1"/>
  <c r="B122" i="18"/>
  <c r="B295" i="19"/>
  <c r="B295" i="18"/>
  <c r="E260" i="18"/>
  <c r="E92" i="18"/>
  <c r="E89" i="18" s="1"/>
  <c r="E90" i="18" s="1"/>
  <c r="H282" i="18"/>
  <c r="H283" i="18" s="1"/>
  <c r="E50" i="18"/>
  <c r="D50" i="18"/>
  <c r="D260" i="18"/>
  <c r="D92" i="18"/>
  <c r="D89" i="18" s="1"/>
  <c r="D90" i="18" s="1"/>
  <c r="D46" i="18"/>
  <c r="D47" i="18" s="1"/>
  <c r="C92" i="18"/>
  <c r="C89" i="18" s="1"/>
  <c r="C90" i="18" s="1"/>
  <c r="C50" i="18"/>
  <c r="C46" i="18"/>
  <c r="C47" i="18" s="1"/>
  <c r="C260" i="18"/>
  <c r="I116" i="19"/>
  <c r="H116" i="19"/>
  <c r="H113" i="19"/>
  <c r="H324" i="19"/>
  <c r="H345" i="19"/>
  <c r="G345" i="19"/>
  <c r="G113" i="19"/>
  <c r="G324" i="19"/>
  <c r="G116" i="19"/>
  <c r="E111" i="19"/>
  <c r="E328" i="19" s="1"/>
  <c r="B271" i="19"/>
  <c r="E113" i="19"/>
  <c r="E345" i="19"/>
  <c r="E116" i="19"/>
  <c r="E324" i="19"/>
  <c r="D345" i="19"/>
  <c r="D324" i="19"/>
  <c r="D116" i="19"/>
  <c r="D113" i="19"/>
  <c r="I44" i="19"/>
  <c r="I40" i="19"/>
  <c r="I41" i="19" s="1"/>
  <c r="K113" i="19"/>
  <c r="K109" i="19"/>
  <c r="H265" i="18"/>
  <c r="K111" i="19"/>
  <c r="J324" i="18"/>
  <c r="J116" i="18"/>
  <c r="J113" i="18"/>
  <c r="J345" i="18"/>
  <c r="L168" i="18"/>
  <c r="L168" i="19"/>
  <c r="J214" i="18"/>
  <c r="J214" i="19"/>
  <c r="G103" i="19"/>
  <c r="G106" i="19" s="1"/>
  <c r="G103" i="18"/>
  <c r="G106" i="18" s="1"/>
  <c r="G291" i="18"/>
  <c r="G292" i="18" s="1"/>
  <c r="G291" i="19"/>
  <c r="G292" i="19" s="1"/>
  <c r="F214" i="19"/>
  <c r="F214" i="18"/>
  <c r="F300" i="18"/>
  <c r="F300" i="19"/>
  <c r="D103" i="19"/>
  <c r="D106" i="19" s="1"/>
  <c r="D103" i="18"/>
  <c r="D168" i="19"/>
  <c r="D168" i="18"/>
  <c r="D176" i="18" s="1"/>
  <c r="D198" i="18" s="1"/>
  <c r="D205" i="18" s="1"/>
  <c r="D207" i="18" s="1"/>
  <c r="D208" i="18" s="1"/>
  <c r="D291" i="18"/>
  <c r="D292" i="18" s="1"/>
  <c r="D291" i="19"/>
  <c r="D292" i="19" s="1"/>
  <c r="C280" i="18"/>
  <c r="C280" i="19"/>
  <c r="D44" i="18"/>
  <c r="D40" i="18"/>
  <c r="D41" i="18" s="1"/>
  <c r="D109" i="19"/>
  <c r="I197" i="19"/>
  <c r="L255" i="19"/>
  <c r="K255" i="19"/>
  <c r="C111" i="18"/>
  <c r="C328" i="18" s="1"/>
  <c r="G197" i="19"/>
  <c r="K265" i="19"/>
  <c r="K285" i="19" s="1"/>
  <c r="C345" i="18"/>
  <c r="C116" i="18"/>
  <c r="C324" i="18"/>
  <c r="G202" i="19"/>
  <c r="I255" i="19"/>
  <c r="L113" i="18"/>
  <c r="L109" i="18"/>
  <c r="E197" i="19"/>
  <c r="J99" i="18"/>
  <c r="C196" i="19"/>
  <c r="C210" i="19" s="1"/>
  <c r="G255" i="18"/>
  <c r="J109" i="18"/>
  <c r="C197" i="19"/>
  <c r="L103" i="19"/>
  <c r="L103" i="18"/>
  <c r="L291" i="18"/>
  <c r="L292" i="18" s="1"/>
  <c r="M292" i="18" s="1"/>
  <c r="L291" i="19"/>
  <c r="L292" i="19" s="1"/>
  <c r="M292" i="19" s="1"/>
  <c r="K280" i="18"/>
  <c r="K280" i="19"/>
  <c r="J273" i="18"/>
  <c r="J273" i="19"/>
  <c r="J300" i="19"/>
  <c r="J300" i="18"/>
  <c r="I295" i="19"/>
  <c r="I295" i="18"/>
  <c r="G168" i="18"/>
  <c r="G168" i="19"/>
  <c r="G176" i="19" s="1"/>
  <c r="H280" i="18"/>
  <c r="H280" i="19"/>
  <c r="F273" i="18"/>
  <c r="F273" i="19"/>
  <c r="E295" i="18"/>
  <c r="E295" i="19"/>
  <c r="E46" i="18"/>
  <c r="E47" i="18" s="1"/>
  <c r="E44" i="18"/>
  <c r="E40" i="18"/>
  <c r="E41" i="18" s="1"/>
  <c r="C44" i="18"/>
  <c r="C40" i="18"/>
  <c r="C41" i="18" s="1"/>
  <c r="H324" i="18"/>
  <c r="H345" i="18"/>
  <c r="H113" i="18"/>
  <c r="H116" i="18"/>
  <c r="B92" i="19"/>
  <c r="B264" i="19"/>
  <c r="B46" i="19"/>
  <c r="B47" i="19" s="1"/>
  <c r="B260" i="19"/>
  <c r="G345" i="18"/>
  <c r="G116" i="18"/>
  <c r="G324" i="18"/>
  <c r="G113" i="18"/>
  <c r="C182" i="9"/>
  <c r="L293" i="19"/>
  <c r="L293" i="18"/>
  <c r="K281" i="18"/>
  <c r="K281" i="19"/>
  <c r="J275" i="18"/>
  <c r="J276" i="18" s="1"/>
  <c r="J275" i="19"/>
  <c r="J276" i="19" s="1"/>
  <c r="I270" i="18"/>
  <c r="I329" i="18" s="1"/>
  <c r="I346" i="18" s="1"/>
  <c r="I270" i="19"/>
  <c r="I329" i="19" s="1"/>
  <c r="I346" i="19" s="1"/>
  <c r="G293" i="19"/>
  <c r="G293" i="18"/>
  <c r="H281" i="19"/>
  <c r="H281" i="18"/>
  <c r="F275" i="18"/>
  <c r="F276" i="18" s="1"/>
  <c r="F275" i="19"/>
  <c r="F276" i="19" s="1"/>
  <c r="E270" i="18"/>
  <c r="E270" i="19"/>
  <c r="D293" i="18"/>
  <c r="D293" i="19"/>
  <c r="C281" i="19"/>
  <c r="C281" i="18"/>
  <c r="B212" i="19"/>
  <c r="B212" i="18"/>
  <c r="B272" i="18"/>
  <c r="B272" i="19"/>
  <c r="B299" i="18"/>
  <c r="B299" i="19"/>
  <c r="K345" i="18"/>
  <c r="K324" i="18"/>
  <c r="K116" i="18"/>
  <c r="E44" i="19"/>
  <c r="E40" i="19"/>
  <c r="E41" i="19" s="1"/>
  <c r="F285" i="19"/>
  <c r="J324" i="19"/>
  <c r="J113" i="19"/>
  <c r="J116" i="19"/>
  <c r="J345" i="19"/>
  <c r="D46" i="19"/>
  <c r="D47" i="19" s="1"/>
  <c r="D50" i="19"/>
  <c r="D92" i="19"/>
  <c r="D89" i="19" s="1"/>
  <c r="D90" i="19" s="1"/>
  <c r="D260" i="19"/>
  <c r="I113" i="19"/>
  <c r="I324" i="19"/>
  <c r="I345" i="19"/>
  <c r="C260" i="19"/>
  <c r="C46" i="19"/>
  <c r="C47" i="19" s="1"/>
  <c r="C92" i="19"/>
  <c r="C89" i="19" s="1"/>
  <c r="C90" i="19" s="1"/>
  <c r="C50" i="19"/>
  <c r="C265" i="19"/>
  <c r="C285" i="19" s="1"/>
  <c r="C286" i="19" s="1"/>
  <c r="D106" i="18"/>
  <c r="D109" i="18"/>
  <c r="D111" i="19"/>
  <c r="D328" i="19" s="1"/>
  <c r="C111" i="19"/>
  <c r="C328" i="19" s="1"/>
  <c r="C345" i="19"/>
  <c r="C324" i="19"/>
  <c r="C116" i="19"/>
  <c r="L109" i="19"/>
  <c r="J328" i="19"/>
  <c r="J109" i="19"/>
  <c r="K99" i="18"/>
  <c r="K328" i="18"/>
  <c r="D196" i="19"/>
  <c r="D210" i="19" s="1"/>
  <c r="D330" i="19" s="1"/>
  <c r="D348" i="19" s="1"/>
  <c r="J95" i="18"/>
  <c r="I95" i="18"/>
  <c r="I96" i="18"/>
  <c r="I99" i="18"/>
  <c r="I328" i="18"/>
  <c r="B196" i="19"/>
  <c r="J330" i="19"/>
  <c r="J348" i="19" s="1"/>
  <c r="H210" i="19"/>
  <c r="C113" i="18"/>
  <c r="C109" i="18"/>
  <c r="J256" i="19"/>
  <c r="J326" i="19"/>
  <c r="J347" i="19" s="1"/>
  <c r="L295" i="19"/>
  <c r="L295" i="18"/>
  <c r="K103" i="19"/>
  <c r="K103" i="18"/>
  <c r="K168" i="19"/>
  <c r="K168" i="18"/>
  <c r="K291" i="19"/>
  <c r="K292" i="19" s="1"/>
  <c r="K291" i="18"/>
  <c r="K292" i="18" s="1"/>
  <c r="J280" i="18"/>
  <c r="J280" i="19"/>
  <c r="I214" i="18"/>
  <c r="I214" i="19"/>
  <c r="I273" i="19"/>
  <c r="I273" i="18"/>
  <c r="M273" i="18" s="1"/>
  <c r="I300" i="18"/>
  <c r="I300" i="19"/>
  <c r="G295" i="18"/>
  <c r="G295" i="19"/>
  <c r="H103" i="19"/>
  <c r="H106" i="19" s="1"/>
  <c r="H103" i="18"/>
  <c r="H168" i="18"/>
  <c r="H168" i="19"/>
  <c r="H291" i="19"/>
  <c r="H292" i="19" s="1"/>
  <c r="H291" i="18"/>
  <c r="H292" i="18" s="1"/>
  <c r="F280" i="19"/>
  <c r="F280" i="18"/>
  <c r="E214" i="19"/>
  <c r="E214" i="18"/>
  <c r="E273" i="18"/>
  <c r="E273" i="19"/>
  <c r="E300" i="19"/>
  <c r="E300" i="18"/>
  <c r="D295" i="18"/>
  <c r="D295" i="19"/>
  <c r="C103" i="19"/>
  <c r="C103" i="18"/>
  <c r="C168" i="19"/>
  <c r="C168" i="18"/>
  <c r="C291" i="18"/>
  <c r="C292" i="18" s="1"/>
  <c r="C291" i="19"/>
  <c r="C292" i="19" s="1"/>
  <c r="B275" i="19"/>
  <c r="B275" i="18"/>
  <c r="F255" i="19"/>
  <c r="E326" i="18"/>
  <c r="E347" i="18" s="1"/>
  <c r="E256" i="18"/>
  <c r="D255" i="18"/>
  <c r="C255" i="19"/>
  <c r="F106" i="18"/>
  <c r="F109" i="18"/>
  <c r="B255" i="19"/>
  <c r="B256" i="19" s="1"/>
  <c r="C113" i="19"/>
  <c r="C109" i="19"/>
  <c r="B113" i="19"/>
  <c r="B111" i="19"/>
  <c r="K328" i="19"/>
  <c r="K99" i="19"/>
  <c r="I95" i="19"/>
  <c r="I96" i="19"/>
  <c r="C285" i="18"/>
  <c r="C286" i="18" s="1"/>
  <c r="K293" i="18"/>
  <c r="K293" i="19"/>
  <c r="B277" i="18"/>
  <c r="B277" i="19"/>
  <c r="E326" i="19"/>
  <c r="E347" i="19" s="1"/>
  <c r="E256" i="19"/>
  <c r="H111" i="19"/>
  <c r="H328" i="19" s="1"/>
  <c r="B255" i="18"/>
  <c r="B256" i="18" s="1"/>
  <c r="E106" i="19"/>
  <c r="E109" i="19"/>
  <c r="L95" i="18"/>
  <c r="L96" i="18"/>
  <c r="L97" i="18" s="1"/>
  <c r="L328" i="18"/>
  <c r="E196" i="18"/>
  <c r="E210" i="18" s="1"/>
  <c r="E330" i="18" s="1"/>
  <c r="E348" i="18" s="1"/>
  <c r="J97" i="18"/>
  <c r="L296" i="18"/>
  <c r="F172" i="19"/>
  <c r="G46" i="18"/>
  <c r="G47" i="18" s="1"/>
  <c r="G44" i="18"/>
  <c r="G40" i="18"/>
  <c r="G41" i="18" s="1"/>
  <c r="E216" i="19"/>
  <c r="H96" i="18"/>
  <c r="H97" i="18" s="1"/>
  <c r="H95" i="18"/>
  <c r="C167" i="19"/>
  <c r="C167" i="18"/>
  <c r="C99" i="18"/>
  <c r="L270" i="18"/>
  <c r="L270" i="19"/>
  <c r="K104" i="19"/>
  <c r="K106" i="19" s="1"/>
  <c r="K104" i="18"/>
  <c r="J281" i="18"/>
  <c r="J281" i="19"/>
  <c r="I275" i="18"/>
  <c r="I276" i="18" s="1"/>
  <c r="I275" i="19"/>
  <c r="I276" i="19" s="1"/>
  <c r="G270" i="18"/>
  <c r="G270" i="19"/>
  <c r="H293" i="18"/>
  <c r="H293" i="19"/>
  <c r="F281" i="18"/>
  <c r="F281" i="19"/>
  <c r="E275" i="18"/>
  <c r="E276" i="18" s="1"/>
  <c r="E275" i="19"/>
  <c r="E276" i="19" s="1"/>
  <c r="D270" i="18"/>
  <c r="D270" i="19"/>
  <c r="C104" i="19"/>
  <c r="C104" i="18"/>
  <c r="C106" i="18" s="1"/>
  <c r="C293" i="18"/>
  <c r="C293" i="19"/>
  <c r="B221" i="19"/>
  <c r="B221" i="18"/>
  <c r="B302" i="18"/>
  <c r="B303" i="18" s="1"/>
  <c r="B302" i="19"/>
  <c r="B303" i="19" s="1"/>
  <c r="I111" i="19"/>
  <c r="I328" i="19" s="1"/>
  <c r="D326" i="19"/>
  <c r="D347" i="19" s="1"/>
  <c r="D256" i="19"/>
  <c r="C326" i="18"/>
  <c r="C347" i="18" s="1"/>
  <c r="C256" i="18"/>
  <c r="K349" i="19"/>
  <c r="E301" i="18"/>
  <c r="L299" i="19"/>
  <c r="L299" i="18"/>
  <c r="K294" i="19"/>
  <c r="K294" i="18"/>
  <c r="J167" i="18"/>
  <c r="J167" i="19"/>
  <c r="J257" i="18"/>
  <c r="J258" i="18" s="1"/>
  <c r="J257" i="19"/>
  <c r="J258" i="19" s="1"/>
  <c r="I221" i="18"/>
  <c r="I221" i="19"/>
  <c r="I277" i="18"/>
  <c r="I278" i="18" s="1"/>
  <c r="I277" i="19"/>
  <c r="I278" i="19" s="1"/>
  <c r="I302" i="18"/>
  <c r="I303" i="18" s="1"/>
  <c r="I302" i="19"/>
  <c r="I303" i="19" s="1"/>
  <c r="G122" i="18"/>
  <c r="G122" i="19"/>
  <c r="G272" i="18"/>
  <c r="G272" i="19"/>
  <c r="G299" i="18"/>
  <c r="G299" i="19"/>
  <c r="H294" i="19"/>
  <c r="H294" i="18"/>
  <c r="F167" i="18"/>
  <c r="F167" i="19"/>
  <c r="F257" i="19"/>
  <c r="F258" i="19" s="1"/>
  <c r="F257" i="18"/>
  <c r="F258" i="18" s="1"/>
  <c r="E221" i="19"/>
  <c r="E221" i="18"/>
  <c r="E277" i="19"/>
  <c r="E278" i="19" s="1"/>
  <c r="E277" i="18"/>
  <c r="E278" i="18" s="1"/>
  <c r="E302" i="19"/>
  <c r="E303" i="19" s="1"/>
  <c r="E302" i="18"/>
  <c r="E303" i="18" s="1"/>
  <c r="D122" i="19"/>
  <c r="D122" i="18"/>
  <c r="D272" i="18"/>
  <c r="D272" i="19"/>
  <c r="D299" i="19"/>
  <c r="D299" i="18"/>
  <c r="C294" i="18"/>
  <c r="C294" i="19"/>
  <c r="B167" i="19"/>
  <c r="B167" i="18"/>
  <c r="B280" i="19"/>
  <c r="B280" i="18"/>
  <c r="I113" i="18"/>
  <c r="I106" i="18"/>
  <c r="I109" i="18"/>
  <c r="H109" i="18"/>
  <c r="H106" i="18"/>
  <c r="G109" i="18"/>
  <c r="E328" i="18"/>
  <c r="D328" i="18"/>
  <c r="D99" i="18"/>
  <c r="B96" i="19"/>
  <c r="C97" i="19" s="1"/>
  <c r="L95" i="19"/>
  <c r="L96" i="19"/>
  <c r="L328" i="19"/>
  <c r="K95" i="19"/>
  <c r="J96" i="19"/>
  <c r="J95" i="19"/>
  <c r="G260" i="18"/>
  <c r="G92" i="18"/>
  <c r="G89" i="18" s="1"/>
  <c r="G90" i="18" s="1"/>
  <c r="G50" i="18"/>
  <c r="E216" i="18"/>
  <c r="H96" i="19"/>
  <c r="H97" i="19" s="1"/>
  <c r="H95" i="19"/>
  <c r="E172" i="19"/>
  <c r="F260" i="19"/>
  <c r="F50" i="19"/>
  <c r="F92" i="19"/>
  <c r="F89" i="19" s="1"/>
  <c r="F90" i="19" s="1"/>
  <c r="J277" i="19"/>
  <c r="J278" i="19" s="1"/>
  <c r="J277" i="18"/>
  <c r="J278" i="18" s="1"/>
  <c r="E272" i="18"/>
  <c r="E272" i="19"/>
  <c r="I345" i="18"/>
  <c r="I116" i="18"/>
  <c r="I324" i="18"/>
  <c r="I331" i="18" s="1"/>
  <c r="C44" i="19"/>
  <c r="C40" i="19"/>
  <c r="C41" i="19" s="1"/>
  <c r="H295" i="18"/>
  <c r="M295" i="18" s="1"/>
  <c r="H295" i="19"/>
  <c r="F168" i="18"/>
  <c r="F176" i="18" s="1"/>
  <c r="F216" i="18" s="1"/>
  <c r="F168" i="19"/>
  <c r="F291" i="18"/>
  <c r="F292" i="18" s="1"/>
  <c r="F291" i="19"/>
  <c r="F292" i="19" s="1"/>
  <c r="D214" i="18"/>
  <c r="D214" i="19"/>
  <c r="D273" i="18"/>
  <c r="D273" i="19"/>
  <c r="D300" i="19"/>
  <c r="D300" i="18"/>
  <c r="B281" i="18"/>
  <c r="B281" i="19"/>
  <c r="L275" i="18"/>
  <c r="L276" i="18" s="1"/>
  <c r="L275" i="19"/>
  <c r="L276" i="19" s="1"/>
  <c r="J104" i="19"/>
  <c r="J106" i="19" s="1"/>
  <c r="J104" i="18"/>
  <c r="J106" i="18" s="1"/>
  <c r="J293" i="19"/>
  <c r="J293" i="18"/>
  <c r="I281" i="18"/>
  <c r="I281" i="19"/>
  <c r="G275" i="18"/>
  <c r="G276" i="18" s="1"/>
  <c r="G275" i="19"/>
  <c r="G276" i="19" s="1"/>
  <c r="H270" i="18"/>
  <c r="H270" i="19"/>
  <c r="F293" i="18"/>
  <c r="F293" i="19"/>
  <c r="E281" i="18"/>
  <c r="E281" i="19"/>
  <c r="D275" i="18"/>
  <c r="D276" i="18" s="1"/>
  <c r="D275" i="19"/>
  <c r="D276" i="19" s="1"/>
  <c r="C270" i="18"/>
  <c r="C270" i="19"/>
  <c r="B104" i="19"/>
  <c r="B104" i="18"/>
  <c r="B106" i="18" s="1"/>
  <c r="D216" i="18"/>
  <c r="H99" i="18"/>
  <c r="H328" i="18"/>
  <c r="G99" i="18"/>
  <c r="G328" i="18"/>
  <c r="F99" i="18"/>
  <c r="F328" i="18"/>
  <c r="D95" i="18"/>
  <c r="D96" i="18"/>
  <c r="C95" i="18"/>
  <c r="C96" i="18"/>
  <c r="C97" i="18" s="1"/>
  <c r="L44" i="18"/>
  <c r="L40" i="18"/>
  <c r="L41" i="18" s="1"/>
  <c r="K92" i="18"/>
  <c r="K89" i="18" s="1"/>
  <c r="K90" i="18" s="1"/>
  <c r="K50" i="18"/>
  <c r="K46" i="18"/>
  <c r="K47" i="18" s="1"/>
  <c r="K260" i="18"/>
  <c r="J256" i="18"/>
  <c r="J46" i="18"/>
  <c r="J47" i="18" s="1"/>
  <c r="J50" i="18"/>
  <c r="J260" i="18"/>
  <c r="J92" i="18"/>
  <c r="J89" i="18" s="1"/>
  <c r="J90" i="18" s="1"/>
  <c r="K96" i="19"/>
  <c r="H260" i="18"/>
  <c r="H50" i="18"/>
  <c r="H46" i="18"/>
  <c r="H47" i="18" s="1"/>
  <c r="H92" i="18"/>
  <c r="H89" i="18" s="1"/>
  <c r="H90" i="18" s="1"/>
  <c r="G46" i="19"/>
  <c r="G47" i="19" s="1"/>
  <c r="G260" i="19"/>
  <c r="G92" i="19"/>
  <c r="G89" i="19" s="1"/>
  <c r="G90" i="19" s="1"/>
  <c r="G50" i="19"/>
  <c r="F46" i="18"/>
  <c r="F47" i="18" s="1"/>
  <c r="F40" i="18"/>
  <c r="F41" i="18" s="1"/>
  <c r="F44" i="18"/>
  <c r="L257" i="9"/>
  <c r="L328" i="9" s="1"/>
  <c r="L349" i="9" s="1"/>
  <c r="G267" i="9"/>
  <c r="B267" i="9"/>
  <c r="C223" i="9"/>
  <c r="G35" i="10"/>
  <c r="K326" i="9"/>
  <c r="K347" i="9"/>
  <c r="B277" i="9"/>
  <c r="I272" i="9"/>
  <c r="I331" i="9" s="1"/>
  <c r="I348" i="9" s="1"/>
  <c r="C272" i="9"/>
  <c r="C331" i="9" s="1"/>
  <c r="C348" i="9" s="1"/>
  <c r="B260" i="9"/>
  <c r="G272" i="9"/>
  <c r="G331" i="9" s="1"/>
  <c r="G348" i="9" s="1"/>
  <c r="I168" i="9"/>
  <c r="D272" i="9"/>
  <c r="D331" i="9" s="1"/>
  <c r="D348" i="9" s="1"/>
  <c r="E168" i="9"/>
  <c r="F272" i="9"/>
  <c r="F331" i="9" s="1"/>
  <c r="F348" i="9" s="1"/>
  <c r="L272" i="9"/>
  <c r="L331" i="9" s="1"/>
  <c r="L348" i="9" s="1"/>
  <c r="C168" i="9"/>
  <c r="C259" i="9"/>
  <c r="D260" i="9" s="1"/>
  <c r="D168" i="9"/>
  <c r="B279" i="9"/>
  <c r="K168" i="9"/>
  <c r="E272" i="9"/>
  <c r="E331" i="9" s="1"/>
  <c r="E348" i="9" s="1"/>
  <c r="E259" i="9"/>
  <c r="E260" i="9" s="1"/>
  <c r="I259" i="9"/>
  <c r="I260" i="9" s="1"/>
  <c r="H259" i="9"/>
  <c r="H260" i="9" s="1"/>
  <c r="D259" i="9"/>
  <c r="G259" i="9"/>
  <c r="G260" i="9" s="1"/>
  <c r="G168" i="9"/>
  <c r="L197" i="9"/>
  <c r="C44" i="9"/>
  <c r="J44" i="9"/>
  <c r="F44" i="9"/>
  <c r="L44" i="9"/>
  <c r="D44" i="9"/>
  <c r="G44" i="9"/>
  <c r="I44" i="9"/>
  <c r="E44" i="9"/>
  <c r="H44" i="9"/>
  <c r="K44" i="9"/>
  <c r="E99" i="18" l="1"/>
  <c r="E285" i="18"/>
  <c r="E286" i="18" s="1"/>
  <c r="K106" i="18"/>
  <c r="F203" i="18"/>
  <c r="C99" i="19"/>
  <c r="C176" i="19"/>
  <c r="C179" i="19" s="1"/>
  <c r="C180" i="19" s="1"/>
  <c r="M273" i="19"/>
  <c r="D176" i="19"/>
  <c r="D173" i="19" s="1"/>
  <c r="I106" i="19"/>
  <c r="F349" i="18"/>
  <c r="L176" i="19"/>
  <c r="J97" i="19"/>
  <c r="C106" i="19"/>
  <c r="M276" i="19"/>
  <c r="M275" i="19" s="1"/>
  <c r="G176" i="18"/>
  <c r="G203" i="18" s="1"/>
  <c r="L97" i="19"/>
  <c r="B106" i="19"/>
  <c r="G285" i="18"/>
  <c r="G286" i="18" s="1"/>
  <c r="O210" i="19"/>
  <c r="H329" i="18"/>
  <c r="H346" i="18" s="1"/>
  <c r="H271" i="18"/>
  <c r="I349" i="19"/>
  <c r="L271" i="18"/>
  <c r="L329" i="18"/>
  <c r="L346" i="18" s="1"/>
  <c r="F286" i="18"/>
  <c r="K286" i="19"/>
  <c r="E218" i="18"/>
  <c r="E219" i="18" s="1"/>
  <c r="E123" i="18"/>
  <c r="E177" i="19"/>
  <c r="G173" i="19"/>
  <c r="G330" i="19"/>
  <c r="G348" i="19" s="1"/>
  <c r="K210" i="18"/>
  <c r="L285" i="19"/>
  <c r="L286" i="19" s="1"/>
  <c r="D286" i="19"/>
  <c r="D97" i="18"/>
  <c r="E330" i="19"/>
  <c r="E348" i="19" s="1"/>
  <c r="E173" i="19"/>
  <c r="J99" i="19"/>
  <c r="I99" i="19"/>
  <c r="F326" i="19"/>
  <c r="F347" i="19" s="1"/>
  <c r="F256" i="19"/>
  <c r="N273" i="19"/>
  <c r="O273" i="19" s="1"/>
  <c r="G256" i="18"/>
  <c r="G326" i="18"/>
  <c r="G347" i="18" s="1"/>
  <c r="G349" i="19"/>
  <c r="G198" i="19"/>
  <c r="G205" i="19" s="1"/>
  <c r="G207" i="19" s="1"/>
  <c r="G208" i="19" s="1"/>
  <c r="F218" i="19"/>
  <c r="F219" i="19" s="1"/>
  <c r="F123" i="19"/>
  <c r="D173" i="18"/>
  <c r="H286" i="19"/>
  <c r="N260" i="19"/>
  <c r="O260" i="19" s="1"/>
  <c r="N260" i="18"/>
  <c r="O260" i="18" s="1"/>
  <c r="E97" i="18"/>
  <c r="E177" i="18"/>
  <c r="C218" i="18"/>
  <c r="C219" i="18" s="1"/>
  <c r="C123" i="18"/>
  <c r="K218" i="19"/>
  <c r="K219" i="19" s="1"/>
  <c r="K123" i="19"/>
  <c r="M167" i="19"/>
  <c r="Q167" i="19" s="1"/>
  <c r="K286" i="18"/>
  <c r="K176" i="18"/>
  <c r="K203" i="18" s="1"/>
  <c r="N273" i="18"/>
  <c r="O273" i="18" s="1"/>
  <c r="P273" i="18" s="1"/>
  <c r="Q273" i="18" s="1"/>
  <c r="D203" i="18"/>
  <c r="F218" i="18"/>
  <c r="F219" i="18" s="1"/>
  <c r="F123" i="18"/>
  <c r="D198" i="19"/>
  <c r="D205" i="19" s="1"/>
  <c r="D207" i="19" s="1"/>
  <c r="D208" i="19" s="1"/>
  <c r="D349" i="19"/>
  <c r="I271" i="19"/>
  <c r="J329" i="18"/>
  <c r="J346" i="18" s="1"/>
  <c r="J271" i="18"/>
  <c r="M152" i="18"/>
  <c r="M22" i="18"/>
  <c r="H330" i="19"/>
  <c r="H348" i="19" s="1"/>
  <c r="K218" i="18"/>
  <c r="K219" i="18" s="1"/>
  <c r="K123" i="18"/>
  <c r="M167" i="18"/>
  <c r="N167" i="18" s="1"/>
  <c r="O167" i="18" s="1"/>
  <c r="K330" i="19"/>
  <c r="K348" i="19" s="1"/>
  <c r="K172" i="18"/>
  <c r="K172" i="19"/>
  <c r="G329" i="19"/>
  <c r="G346" i="19" s="1"/>
  <c r="G271" i="19"/>
  <c r="I97" i="19"/>
  <c r="K176" i="19"/>
  <c r="E329" i="19"/>
  <c r="E346" i="19" s="1"/>
  <c r="E271" i="19"/>
  <c r="K326" i="19"/>
  <c r="K347" i="19" s="1"/>
  <c r="K256" i="19"/>
  <c r="J203" i="18"/>
  <c r="J329" i="19"/>
  <c r="J346" i="19" s="1"/>
  <c r="J271" i="19"/>
  <c r="M152" i="19"/>
  <c r="M22" i="19"/>
  <c r="H99" i="19"/>
  <c r="P273" i="19"/>
  <c r="Q273" i="19" s="1"/>
  <c r="B286" i="18"/>
  <c r="J286" i="18"/>
  <c r="G286" i="19"/>
  <c r="L272" i="19"/>
  <c r="M272" i="19" s="1"/>
  <c r="N272" i="19" s="1"/>
  <c r="O272" i="19" s="1"/>
  <c r="P272" i="19" s="1"/>
  <c r="Q272" i="19" s="1"/>
  <c r="L272" i="18"/>
  <c r="M272" i="18" s="1"/>
  <c r="N272" i="18" s="1"/>
  <c r="O272" i="18" s="1"/>
  <c r="P272" i="18" s="1"/>
  <c r="Q272" i="18" s="1"/>
  <c r="J218" i="18"/>
  <c r="J219" i="18" s="1"/>
  <c r="J123" i="18"/>
  <c r="D182" i="9"/>
  <c r="D182" i="18"/>
  <c r="D179" i="18" s="1"/>
  <c r="D180" i="18" s="1"/>
  <c r="D182" i="19"/>
  <c r="K97" i="19"/>
  <c r="F176" i="19"/>
  <c r="G177" i="19" s="1"/>
  <c r="D218" i="18"/>
  <c r="D219" i="18" s="1"/>
  <c r="D123" i="18"/>
  <c r="G329" i="18"/>
  <c r="G346" i="18" s="1"/>
  <c r="G271" i="18"/>
  <c r="E329" i="18"/>
  <c r="E346" i="18" s="1"/>
  <c r="E271" i="18"/>
  <c r="E349" i="19"/>
  <c r="E198" i="19"/>
  <c r="E205" i="19" s="1"/>
  <c r="E207" i="19" s="1"/>
  <c r="E208" i="19" s="1"/>
  <c r="H349" i="19"/>
  <c r="H285" i="18"/>
  <c r="H286" i="18" s="1"/>
  <c r="E350" i="19"/>
  <c r="F329" i="19"/>
  <c r="F346" i="19" s="1"/>
  <c r="F271" i="19"/>
  <c r="I271" i="18"/>
  <c r="I176" i="19"/>
  <c r="I198" i="19" s="1"/>
  <c r="I205" i="19" s="1"/>
  <c r="I207" i="19" s="1"/>
  <c r="I208" i="19" s="1"/>
  <c r="I330" i="19"/>
  <c r="I348" i="19" s="1"/>
  <c r="D216" i="19"/>
  <c r="N196" i="18"/>
  <c r="O196" i="18" s="1"/>
  <c r="E198" i="18"/>
  <c r="E205" i="18" s="1"/>
  <c r="E207" i="18" s="1"/>
  <c r="E208" i="18" s="1"/>
  <c r="L202" i="18"/>
  <c r="L202" i="19"/>
  <c r="L203" i="19" s="1"/>
  <c r="I256" i="19"/>
  <c r="I326" i="19"/>
  <c r="I347" i="19" s="1"/>
  <c r="I350" i="19" s="1"/>
  <c r="F177" i="18"/>
  <c r="D218" i="19"/>
  <c r="D219" i="19" s="1"/>
  <c r="D123" i="19"/>
  <c r="N276" i="19"/>
  <c r="N292" i="19"/>
  <c r="M278" i="18"/>
  <c r="M277" i="18" s="1"/>
  <c r="B285" i="19"/>
  <c r="B286" i="19" s="1"/>
  <c r="F271" i="18"/>
  <c r="F329" i="18"/>
  <c r="F346" i="18" s="1"/>
  <c r="I176" i="18"/>
  <c r="N168" i="18"/>
  <c r="O168" i="18" s="1"/>
  <c r="E349" i="18"/>
  <c r="C329" i="18"/>
  <c r="C346" i="18" s="1"/>
  <c r="C271" i="18"/>
  <c r="H329" i="19"/>
  <c r="H346" i="19" s="1"/>
  <c r="H350" i="19" s="1"/>
  <c r="H271" i="19"/>
  <c r="M295" i="19"/>
  <c r="N295" i="19" s="1"/>
  <c r="C176" i="18"/>
  <c r="H350" i="18"/>
  <c r="N292" i="18"/>
  <c r="L326" i="19"/>
  <c r="L347" i="19" s="1"/>
  <c r="L256" i="19"/>
  <c r="D177" i="18"/>
  <c r="M278" i="19"/>
  <c r="M277" i="19" s="1"/>
  <c r="H326" i="18"/>
  <c r="H347" i="18" s="1"/>
  <c r="H256" i="18"/>
  <c r="M276" i="18"/>
  <c r="M275" i="18" s="1"/>
  <c r="N111" i="18"/>
  <c r="N328" i="18" s="1"/>
  <c r="M328" i="18"/>
  <c r="F97" i="18"/>
  <c r="E203" i="18"/>
  <c r="N167" i="19"/>
  <c r="O167" i="19" s="1"/>
  <c r="J176" i="19"/>
  <c r="L122" i="18"/>
  <c r="L122" i="19"/>
  <c r="P167" i="19"/>
  <c r="C173" i="18"/>
  <c r="N110" i="19"/>
  <c r="O110" i="19" s="1"/>
  <c r="P110" i="19" s="1"/>
  <c r="Q110" i="19" s="1"/>
  <c r="H218" i="19"/>
  <c r="H219" i="19" s="1"/>
  <c r="H123" i="19"/>
  <c r="J176" i="18"/>
  <c r="J173" i="18" s="1"/>
  <c r="I218" i="19"/>
  <c r="I219" i="19" s="1"/>
  <c r="I123" i="19"/>
  <c r="L104" i="19"/>
  <c r="L106" i="19" s="1"/>
  <c r="L104" i="18"/>
  <c r="L106" i="18" s="1"/>
  <c r="G216" i="19"/>
  <c r="D329" i="18"/>
  <c r="D346" i="18" s="1"/>
  <c r="D271" i="18"/>
  <c r="D326" i="18"/>
  <c r="D347" i="18" s="1"/>
  <c r="D256" i="18"/>
  <c r="F198" i="18"/>
  <c r="F205" i="18" s="1"/>
  <c r="F207" i="18" s="1"/>
  <c r="F208" i="18" s="1"/>
  <c r="G177" i="18"/>
  <c r="G203" i="19"/>
  <c r="L177" i="19"/>
  <c r="J218" i="19"/>
  <c r="J219" i="19" s="1"/>
  <c r="J123" i="19"/>
  <c r="G97" i="19"/>
  <c r="F97" i="19"/>
  <c r="D286" i="18"/>
  <c r="P167" i="18"/>
  <c r="Q167" i="18" s="1"/>
  <c r="N111" i="19"/>
  <c r="N328" i="19" s="1"/>
  <c r="M328" i="19"/>
  <c r="H218" i="18"/>
  <c r="H219" i="18" s="1"/>
  <c r="H123" i="18"/>
  <c r="D99" i="19"/>
  <c r="K331" i="19"/>
  <c r="I218" i="18"/>
  <c r="I219" i="18" s="1"/>
  <c r="I123" i="18"/>
  <c r="F173" i="18"/>
  <c r="L197" i="18"/>
  <c r="L197" i="19"/>
  <c r="D329" i="19"/>
  <c r="D346" i="19" s="1"/>
  <c r="D350" i="19" s="1"/>
  <c r="D271" i="19"/>
  <c r="C326" i="19"/>
  <c r="C347" i="19" s="1"/>
  <c r="C256" i="19"/>
  <c r="D179" i="19"/>
  <c r="D180" i="19" s="1"/>
  <c r="D177" i="19"/>
  <c r="N295" i="18"/>
  <c r="C331" i="18"/>
  <c r="L176" i="18"/>
  <c r="L286" i="18"/>
  <c r="N210" i="19"/>
  <c r="K329" i="19"/>
  <c r="K346" i="19" s="1"/>
  <c r="K271" i="19"/>
  <c r="L216" i="19"/>
  <c r="F349" i="19"/>
  <c r="E173" i="18"/>
  <c r="F330" i="18"/>
  <c r="F348" i="18" s="1"/>
  <c r="I286" i="19"/>
  <c r="L172" i="19"/>
  <c r="L172" i="18"/>
  <c r="C329" i="19"/>
  <c r="C346" i="19" s="1"/>
  <c r="C350" i="19" s="1"/>
  <c r="C271" i="19"/>
  <c r="G218" i="19"/>
  <c r="G219" i="19" s="1"/>
  <c r="G123" i="19"/>
  <c r="H176" i="19"/>
  <c r="H173" i="19" s="1"/>
  <c r="M168" i="19"/>
  <c r="I97" i="18"/>
  <c r="C198" i="19"/>
  <c r="C205" i="19" s="1"/>
  <c r="C207" i="19" s="1"/>
  <c r="C208" i="19" s="1"/>
  <c r="J350" i="18"/>
  <c r="I203" i="19"/>
  <c r="G99" i="19"/>
  <c r="K329" i="18"/>
  <c r="K346" i="18" s="1"/>
  <c r="K271" i="18"/>
  <c r="E99" i="19"/>
  <c r="K350" i="19"/>
  <c r="G173" i="18"/>
  <c r="P196" i="19"/>
  <c r="E286" i="19"/>
  <c r="G218" i="18"/>
  <c r="G219" i="18" s="1"/>
  <c r="G123" i="18"/>
  <c r="L329" i="19"/>
  <c r="L346" i="19" s="1"/>
  <c r="L271" i="19"/>
  <c r="F330" i="19"/>
  <c r="F348" i="19" s="1"/>
  <c r="F173" i="19"/>
  <c r="H176" i="18"/>
  <c r="M168" i="18"/>
  <c r="M176" i="18" s="1"/>
  <c r="F286" i="19"/>
  <c r="C350" i="18"/>
  <c r="J349" i="19"/>
  <c r="N278" i="18"/>
  <c r="D203" i="19"/>
  <c r="E331" i="18"/>
  <c r="E218" i="19"/>
  <c r="E219" i="19" s="1"/>
  <c r="E123" i="19"/>
  <c r="I350" i="18"/>
  <c r="H35" i="10"/>
  <c r="J257" i="9"/>
  <c r="J328" i="9" s="1"/>
  <c r="J349" i="9" s="1"/>
  <c r="K259" i="9"/>
  <c r="K260" i="9" s="1"/>
  <c r="H272" i="9"/>
  <c r="H331" i="9" s="1"/>
  <c r="H348" i="9" s="1"/>
  <c r="L267" i="9"/>
  <c r="J168" i="9"/>
  <c r="J259" i="9"/>
  <c r="J260" i="9" s="1"/>
  <c r="H257" i="9"/>
  <c r="H328" i="9" s="1"/>
  <c r="H349" i="9" s="1"/>
  <c r="L168" i="9"/>
  <c r="K257" i="9"/>
  <c r="K328" i="9" s="1"/>
  <c r="K349" i="9" s="1"/>
  <c r="I257" i="9"/>
  <c r="I328" i="9" s="1"/>
  <c r="I349" i="9" s="1"/>
  <c r="K272" i="9"/>
  <c r="K331" i="9" s="1"/>
  <c r="K348" i="9" s="1"/>
  <c r="K267" i="9"/>
  <c r="J272" i="9"/>
  <c r="J331" i="9" s="1"/>
  <c r="J348" i="9" s="1"/>
  <c r="H168" i="9"/>
  <c r="F259" i="9"/>
  <c r="F260" i="9" s="1"/>
  <c r="L259" i="9"/>
  <c r="L260" i="9" s="1"/>
  <c r="F257" i="9"/>
  <c r="F328" i="9" s="1"/>
  <c r="F349" i="9" s="1"/>
  <c r="I267" i="9"/>
  <c r="J267" i="9"/>
  <c r="F168" i="9"/>
  <c r="B298" i="9"/>
  <c r="J197" i="9"/>
  <c r="I282" i="9"/>
  <c r="J196" i="9"/>
  <c r="G279" i="9"/>
  <c r="G280" i="9" s="1"/>
  <c r="L215" i="9"/>
  <c r="G277" i="9"/>
  <c r="G278" i="9" s="1"/>
  <c r="I215" i="9"/>
  <c r="D202" i="9"/>
  <c r="F282" i="9"/>
  <c r="C284" i="9"/>
  <c r="B49" i="9"/>
  <c r="B262" i="9" s="1"/>
  <c r="C279" i="9"/>
  <c r="C280" i="9" s="1"/>
  <c r="E277" i="9"/>
  <c r="E278" i="9" s="1"/>
  <c r="L298" i="9"/>
  <c r="K108" i="9"/>
  <c r="G283" i="9"/>
  <c r="D124" i="9"/>
  <c r="K274" i="9"/>
  <c r="I115" i="9"/>
  <c r="K49" i="9"/>
  <c r="K262" i="9" s="1"/>
  <c r="B284" i="9"/>
  <c r="J282" i="9"/>
  <c r="H108" i="9"/>
  <c r="J115" i="9"/>
  <c r="E303" i="9"/>
  <c r="I303" i="9"/>
  <c r="J298" i="9"/>
  <c r="F101" i="9"/>
  <c r="G275" i="9"/>
  <c r="D298" i="9"/>
  <c r="I108" i="9"/>
  <c r="L124" i="9"/>
  <c r="B124" i="9"/>
  <c r="I274" i="9"/>
  <c r="K283" i="9"/>
  <c r="G274" i="9"/>
  <c r="H49" i="9"/>
  <c r="H262" i="9" s="1"/>
  <c r="J284" i="9"/>
  <c r="C298" i="9"/>
  <c r="H279" i="9"/>
  <c r="H280" i="9" s="1"/>
  <c r="B282" i="9"/>
  <c r="H277" i="9"/>
  <c r="H278" i="9" s="1"/>
  <c r="C202" i="9"/>
  <c r="F172" i="9"/>
  <c r="H202" i="9"/>
  <c r="D110" i="9"/>
  <c r="J124" i="9"/>
  <c r="F283" i="9"/>
  <c r="K298" i="9"/>
  <c r="I275" i="9"/>
  <c r="F110" i="9"/>
  <c r="G49" i="9"/>
  <c r="G262" i="9" s="1"/>
  <c r="H282" i="9"/>
  <c r="D279" i="9"/>
  <c r="D280" i="9" s="1"/>
  <c r="D94" i="9"/>
  <c r="D277" i="9"/>
  <c r="D278" i="9" s="1"/>
  <c r="B272" i="9"/>
  <c r="F202" i="9"/>
  <c r="E115" i="9"/>
  <c r="B303" i="9"/>
  <c r="L279" i="9"/>
  <c r="L280" i="9" s="1"/>
  <c r="K284" i="9"/>
  <c r="H303" i="9"/>
  <c r="L110" i="9"/>
  <c r="F49" i="9"/>
  <c r="F262" i="9" s="1"/>
  <c r="F284" i="9"/>
  <c r="C49" i="9"/>
  <c r="C262" i="9" s="1"/>
  <c r="C108" i="9"/>
  <c r="G303" i="9"/>
  <c r="H101" i="9"/>
  <c r="B101" i="9"/>
  <c r="I172" i="9"/>
  <c r="J303" i="9"/>
  <c r="J172" i="9"/>
  <c r="L275" i="9"/>
  <c r="K215" i="9"/>
  <c r="C277" i="9"/>
  <c r="C278" i="9" s="1"/>
  <c r="G172" i="9"/>
  <c r="E108" i="9"/>
  <c r="D284" i="9"/>
  <c r="I284" i="9"/>
  <c r="J279" i="9"/>
  <c r="J280" i="9" s="1"/>
  <c r="L274" i="9"/>
  <c r="M274" i="9" s="1"/>
  <c r="N274" i="9" s="1"/>
  <c r="O274" i="9" s="1"/>
  <c r="P274" i="9" s="1"/>
  <c r="Q274" i="9" s="1"/>
  <c r="L202" i="9"/>
  <c r="F124" i="9"/>
  <c r="F303" i="9"/>
  <c r="K202" i="9"/>
  <c r="K279" i="9"/>
  <c r="K280" i="9" s="1"/>
  <c r="C275" i="9"/>
  <c r="C101" i="9"/>
  <c r="C124" i="9"/>
  <c r="H215" i="9"/>
  <c r="H94" i="9"/>
  <c r="D49" i="9"/>
  <c r="D262" i="9" s="1"/>
  <c r="B94" i="9"/>
  <c r="I101" i="9"/>
  <c r="J277" i="9"/>
  <c r="J278" i="9" s="1"/>
  <c r="L94" i="9"/>
  <c r="F277" i="9"/>
  <c r="F278" i="9" s="1"/>
  <c r="K196" i="9"/>
  <c r="C274" i="9"/>
  <c r="C303" i="9"/>
  <c r="G215" i="9"/>
  <c r="E101" i="9"/>
  <c r="E172" i="9"/>
  <c r="H197" i="9"/>
  <c r="D275" i="9"/>
  <c r="D283" i="9"/>
  <c r="B115" i="9"/>
  <c r="I49" i="9"/>
  <c r="I262" i="9" s="1"/>
  <c r="J275" i="9"/>
  <c r="J101" i="9"/>
  <c r="L284" i="9"/>
  <c r="F275" i="9"/>
  <c r="K277" i="9"/>
  <c r="K278" i="9" s="1"/>
  <c r="G202" i="9"/>
  <c r="E284" i="9"/>
  <c r="E282" i="9"/>
  <c r="H115" i="9"/>
  <c r="D215" i="9"/>
  <c r="I196" i="9"/>
  <c r="I210" i="9" s="1"/>
  <c r="K110" i="9"/>
  <c r="G284" i="9"/>
  <c r="B108" i="9"/>
  <c r="L49" i="9"/>
  <c r="L262" i="9" s="1"/>
  <c r="K101" i="9"/>
  <c r="E275" i="9"/>
  <c r="C172" i="9"/>
  <c r="G282" i="9"/>
  <c r="I277" i="9"/>
  <c r="I278" i="9" s="1"/>
  <c r="K197" i="9"/>
  <c r="B275" i="9"/>
  <c r="J110" i="9"/>
  <c r="F115" i="9"/>
  <c r="G124" i="9"/>
  <c r="H284" i="9"/>
  <c r="B274" i="9"/>
  <c r="F108" i="9"/>
  <c r="K94" i="9"/>
  <c r="E298" i="9"/>
  <c r="B215" i="9"/>
  <c r="I94" i="9"/>
  <c r="F279" i="9"/>
  <c r="F280" i="9" s="1"/>
  <c r="F94" i="9"/>
  <c r="K282" i="9"/>
  <c r="C110" i="9"/>
  <c r="G115" i="9"/>
  <c r="E110" i="9"/>
  <c r="H275" i="9"/>
  <c r="D172" i="9"/>
  <c r="L277" i="9"/>
  <c r="L278" i="9" s="1"/>
  <c r="L101" i="9"/>
  <c r="D274" i="9"/>
  <c r="I279" i="9"/>
  <c r="I280" i="9" s="1"/>
  <c r="I298" i="9"/>
  <c r="J274" i="9"/>
  <c r="F298" i="9"/>
  <c r="K172" i="9"/>
  <c r="E94" i="9"/>
  <c r="H196" i="9"/>
  <c r="H210" i="9" s="1"/>
  <c r="G101" i="9"/>
  <c r="I283" i="9"/>
  <c r="G94" i="9"/>
  <c r="D303" i="9"/>
  <c r="B182" i="9"/>
  <c r="D101" i="9"/>
  <c r="H283" i="9"/>
  <c r="D115" i="9"/>
  <c r="I197" i="9"/>
  <c r="J202" i="9"/>
  <c r="L282" i="9"/>
  <c r="K275" i="9"/>
  <c r="G110" i="9"/>
  <c r="G298" i="9"/>
  <c r="E215" i="9"/>
  <c r="E283" i="9"/>
  <c r="E49" i="9"/>
  <c r="E262" i="9" s="1"/>
  <c r="H172" i="9"/>
  <c r="H298" i="9"/>
  <c r="C115" i="9"/>
  <c r="L115" i="9"/>
  <c r="F215" i="9"/>
  <c r="J283" i="9"/>
  <c r="K124" i="9"/>
  <c r="E124" i="9"/>
  <c r="B283" i="9"/>
  <c r="C283" i="9"/>
  <c r="E274" i="9"/>
  <c r="D282" i="9"/>
  <c r="I110" i="9"/>
  <c r="L172" i="9"/>
  <c r="C215" i="9"/>
  <c r="J49" i="9"/>
  <c r="J262" i="9" s="1"/>
  <c r="E202" i="9"/>
  <c r="D108" i="9"/>
  <c r="I124" i="9"/>
  <c r="I202" i="9"/>
  <c r="J215" i="9"/>
  <c r="J108" i="9"/>
  <c r="J94" i="9"/>
  <c r="L283" i="9"/>
  <c r="F274" i="9"/>
  <c r="C282" i="9"/>
  <c r="G108" i="9"/>
  <c r="G197" i="9"/>
  <c r="E279" i="9"/>
  <c r="E280" i="9" s="1"/>
  <c r="H274" i="9"/>
  <c r="H110" i="9"/>
  <c r="H124" i="9"/>
  <c r="D2" i="9"/>
  <c r="X110" i="9" a="1"/>
  <c r="X115" i="9" a="1"/>
  <c r="Z281" i="9" a="1"/>
  <c r="Y110" i="9" a="1"/>
  <c r="X281" i="9" a="1"/>
  <c r="Z38" i="9" a="1"/>
  <c r="Z110" i="9" a="1"/>
  <c r="X214" i="9" a="1"/>
  <c r="X274" i="9" a="1"/>
  <c r="Y214" i="9" a="1"/>
  <c r="Y95" i="9" a="1"/>
  <c r="Z115" i="9" a="1"/>
  <c r="Z214" i="9" a="1"/>
  <c r="Z274" i="9" a="1"/>
  <c r="X161" i="9" a="1"/>
  <c r="Z234" i="9" a="1"/>
  <c r="Z95" i="9" a="1"/>
  <c r="X100" i="9" a="1"/>
  <c r="Y161" i="9" a="1"/>
  <c r="Y234" i="9" a="1"/>
  <c r="Y281" i="9" a="1"/>
  <c r="Y100" i="9" a="1"/>
  <c r="Z100" i="9" a="1"/>
  <c r="X171" i="9" a="1"/>
  <c r="X237" i="9" a="1"/>
  <c r="Z247" i="9" a="1"/>
  <c r="Y274" i="9" a="1"/>
  <c r="X107" i="9" a="1"/>
  <c r="Y171" i="9" a="1"/>
  <c r="Y237" i="9" a="1"/>
  <c r="Y107" i="9" a="1"/>
  <c r="Z171" i="9" a="1"/>
  <c r="Z237" i="9" a="1"/>
  <c r="Y183" i="9" a="1"/>
  <c r="Y247" i="9" a="1"/>
  <c r="Z183" i="9" a="1"/>
  <c r="X234" i="9" a="1"/>
  <c r="X95" i="9" a="1"/>
  <c r="Z107" i="9" a="1"/>
  <c r="X183" i="9" a="1"/>
  <c r="X247" i="9" a="1"/>
  <c r="X38" i="9" a="1"/>
  <c r="Y38" i="9" a="1"/>
  <c r="Z161" i="9" a="1"/>
  <c r="D351" i="19" l="1"/>
  <c r="C173" i="19"/>
  <c r="J350" i="19"/>
  <c r="J351" i="19" s="1"/>
  <c r="K173" i="19"/>
  <c r="K173" i="18"/>
  <c r="E350" i="18"/>
  <c r="E351" i="18" s="1"/>
  <c r="C203" i="19"/>
  <c r="D350" i="18"/>
  <c r="D351" i="18" s="1"/>
  <c r="I351" i="18"/>
  <c r="G350" i="18"/>
  <c r="E331" i="19"/>
  <c r="H331" i="18"/>
  <c r="C216" i="19"/>
  <c r="F350" i="18"/>
  <c r="F331" i="19"/>
  <c r="G216" i="18"/>
  <c r="L203" i="18"/>
  <c r="G198" i="18"/>
  <c r="G205" i="18" s="1"/>
  <c r="G207" i="18" s="1"/>
  <c r="G208" i="18" s="1"/>
  <c r="M176" i="19"/>
  <c r="M172" i="19" s="1"/>
  <c r="M330" i="19" s="1"/>
  <c r="M348" i="19" s="1"/>
  <c r="N276" i="18"/>
  <c r="I351" i="19"/>
  <c r="O295" i="19"/>
  <c r="P295" i="19" s="1"/>
  <c r="G351" i="18"/>
  <c r="L173" i="18"/>
  <c r="L330" i="18"/>
  <c r="L348" i="18" s="1"/>
  <c r="J177" i="19"/>
  <c r="J198" i="19"/>
  <c r="J205" i="19" s="1"/>
  <c r="J207" i="19" s="1"/>
  <c r="J208" i="19" s="1"/>
  <c r="J216" i="19"/>
  <c r="J203" i="19"/>
  <c r="J173" i="19"/>
  <c r="L173" i="19"/>
  <c r="L330" i="19"/>
  <c r="L348" i="19" s="1"/>
  <c r="G331" i="19"/>
  <c r="L198" i="18"/>
  <c r="L205" i="18" s="1"/>
  <c r="L207" i="18" s="1"/>
  <c r="L208" i="18" s="1"/>
  <c r="C339" i="18"/>
  <c r="L349" i="18"/>
  <c r="L99" i="18"/>
  <c r="F177" i="19"/>
  <c r="F198" i="19"/>
  <c r="F205" i="19" s="1"/>
  <c r="F207" i="19" s="1"/>
  <c r="F208" i="19" s="1"/>
  <c r="F203" i="19"/>
  <c r="F216" i="19"/>
  <c r="O292" i="19"/>
  <c r="P196" i="18"/>
  <c r="Q196" i="18" s="1"/>
  <c r="N210" i="18"/>
  <c r="M168" i="9"/>
  <c r="N168" i="9" s="1"/>
  <c r="Q196" i="19"/>
  <c r="P210" i="19"/>
  <c r="J331" i="19"/>
  <c r="L177" i="18"/>
  <c r="L216" i="18"/>
  <c r="G331" i="18"/>
  <c r="K177" i="19"/>
  <c r="K216" i="19"/>
  <c r="K203" i="19"/>
  <c r="K198" i="19"/>
  <c r="K205" i="19" s="1"/>
  <c r="K207" i="19" s="1"/>
  <c r="K208" i="19" s="1"/>
  <c r="O276" i="19"/>
  <c r="E182" i="9"/>
  <c r="E182" i="18"/>
  <c r="E179" i="18" s="1"/>
  <c r="E180" i="18" s="1"/>
  <c r="E182" i="19"/>
  <c r="E179" i="19" s="1"/>
  <c r="E180" i="19" s="1"/>
  <c r="M177" i="18"/>
  <c r="M172" i="18"/>
  <c r="M330" i="18" s="1"/>
  <c r="M348" i="18" s="1"/>
  <c r="M197" i="18"/>
  <c r="I331" i="19"/>
  <c r="H177" i="18"/>
  <c r="H173" i="18"/>
  <c r="H216" i="18"/>
  <c r="H198" i="18"/>
  <c r="H205" i="18" s="1"/>
  <c r="H207" i="18" s="1"/>
  <c r="H208" i="18" s="1"/>
  <c r="M197" i="19"/>
  <c r="M177" i="19"/>
  <c r="O292" i="18"/>
  <c r="N168" i="19"/>
  <c r="M161" i="19"/>
  <c r="M23" i="19"/>
  <c r="M37" i="19"/>
  <c r="C331" i="19"/>
  <c r="O210" i="18"/>
  <c r="P295" i="18"/>
  <c r="H177" i="19"/>
  <c r="H203" i="19"/>
  <c r="H198" i="19"/>
  <c r="H205" i="19" s="1"/>
  <c r="H207" i="19" s="1"/>
  <c r="H208" i="19" s="1"/>
  <c r="H216" i="19"/>
  <c r="H351" i="18"/>
  <c r="I177" i="19"/>
  <c r="I216" i="19"/>
  <c r="I173" i="19"/>
  <c r="K330" i="18"/>
  <c r="K348" i="18" s="1"/>
  <c r="K350" i="18" s="1"/>
  <c r="K351" i="18" s="1"/>
  <c r="N110" i="18"/>
  <c r="O110" i="18" s="1"/>
  <c r="P110" i="18" s="1"/>
  <c r="Q110" i="18" s="1"/>
  <c r="I177" i="18"/>
  <c r="I198" i="18"/>
  <c r="I205" i="18" s="1"/>
  <c r="I207" i="18" s="1"/>
  <c r="I208" i="18" s="1"/>
  <c r="I173" i="18"/>
  <c r="N173" i="18" s="1"/>
  <c r="I216" i="18"/>
  <c r="I203" i="18"/>
  <c r="F331" i="18"/>
  <c r="G350" i="19"/>
  <c r="G351" i="19" s="1"/>
  <c r="D331" i="19"/>
  <c r="M123" i="19"/>
  <c r="L218" i="19"/>
  <c r="L219" i="19" s="1"/>
  <c r="L123" i="19"/>
  <c r="D331" i="18"/>
  <c r="C179" i="18"/>
  <c r="C180" i="18" s="1"/>
  <c r="C203" i="18"/>
  <c r="C198" i="18"/>
  <c r="C205" i="18" s="1"/>
  <c r="C207" i="18" s="1"/>
  <c r="C208" i="18" s="1"/>
  <c r="C216" i="18"/>
  <c r="P260" i="19"/>
  <c r="M161" i="18"/>
  <c r="M23" i="18"/>
  <c r="M37" i="18"/>
  <c r="L331" i="19"/>
  <c r="H331" i="19"/>
  <c r="P260" i="18"/>
  <c r="F350" i="19"/>
  <c r="F351" i="19" s="1"/>
  <c r="P168" i="18"/>
  <c r="Q168" i="18" s="1"/>
  <c r="O276" i="18"/>
  <c r="O295" i="18"/>
  <c r="O168" i="19"/>
  <c r="H203" i="18"/>
  <c r="K177" i="18"/>
  <c r="K198" i="18"/>
  <c r="K205" i="18" s="1"/>
  <c r="K207" i="18" s="1"/>
  <c r="K208" i="18" s="1"/>
  <c r="K216" i="18"/>
  <c r="J331" i="18"/>
  <c r="M123" i="18"/>
  <c r="L218" i="18"/>
  <c r="L219" i="18" s="1"/>
  <c r="L123" i="18"/>
  <c r="J351" i="18"/>
  <c r="C339" i="19"/>
  <c r="L349" i="19"/>
  <c r="L198" i="19"/>
  <c r="L205" i="19" s="1"/>
  <c r="L207" i="19" s="1"/>
  <c r="L208" i="19" s="1"/>
  <c r="L99" i="19"/>
  <c r="J177" i="18"/>
  <c r="J216" i="18"/>
  <c r="J198" i="18"/>
  <c r="J205" i="18" s="1"/>
  <c r="J207" i="18" s="1"/>
  <c r="J208" i="18" s="1"/>
  <c r="E351" i="19"/>
  <c r="O278" i="18"/>
  <c r="P278" i="18" s="1"/>
  <c r="N278" i="19"/>
  <c r="I35" i="10"/>
  <c r="L347" i="9"/>
  <c r="M151" i="9"/>
  <c r="I351" i="9"/>
  <c r="K351" i="9"/>
  <c r="J351" i="9"/>
  <c r="C326" i="9"/>
  <c r="C347" i="9"/>
  <c r="E326" i="9"/>
  <c r="E347" i="9"/>
  <c r="I326" i="9"/>
  <c r="I347" i="9"/>
  <c r="J326" i="9"/>
  <c r="J347" i="9"/>
  <c r="H326" i="9"/>
  <c r="H347" i="9"/>
  <c r="G326" i="9"/>
  <c r="G347" i="9"/>
  <c r="D326" i="9"/>
  <c r="D347" i="9"/>
  <c r="F326" i="9"/>
  <c r="F347" i="9"/>
  <c r="M280" i="9"/>
  <c r="M278" i="9"/>
  <c r="N278" i="9" s="1"/>
  <c r="O278" i="9" s="1"/>
  <c r="P278" i="9" s="1"/>
  <c r="Q278" i="9" s="1"/>
  <c r="M275" i="9"/>
  <c r="N262" i="9"/>
  <c r="O262" i="9" s="1"/>
  <c r="Z281" i="9"/>
  <c r="Y281" i="9"/>
  <c r="X281" i="9"/>
  <c r="Z274" i="9"/>
  <c r="Y274" i="9"/>
  <c r="X274" i="9"/>
  <c r="Z247" i="9"/>
  <c r="Y247" i="9"/>
  <c r="X247" i="9"/>
  <c r="Z237" i="9"/>
  <c r="Y237" i="9"/>
  <c r="X237" i="9"/>
  <c r="Z234" i="9"/>
  <c r="Y234" i="9"/>
  <c r="X234" i="9"/>
  <c r="Z214" i="9"/>
  <c r="Y214" i="9"/>
  <c r="X214" i="9"/>
  <c r="Z183" i="9"/>
  <c r="Y183" i="9"/>
  <c r="X183" i="9"/>
  <c r="Z171" i="9"/>
  <c r="Y171" i="9"/>
  <c r="X171" i="9"/>
  <c r="Z161" i="9"/>
  <c r="Y161" i="9"/>
  <c r="X161" i="9"/>
  <c r="Z115" i="9"/>
  <c r="X115" i="9"/>
  <c r="Z110" i="9"/>
  <c r="Y110" i="9"/>
  <c r="X110" i="9"/>
  <c r="Z107" i="9"/>
  <c r="Y107" i="9"/>
  <c r="X107" i="9"/>
  <c r="Z100" i="9"/>
  <c r="Y100" i="9"/>
  <c r="X100" i="9"/>
  <c r="Z95" i="9"/>
  <c r="H11" i="13" s="1"/>
  <c r="Y95" i="9"/>
  <c r="G11" i="13" s="1"/>
  <c r="X95" i="9"/>
  <c r="F11" i="13" s="1"/>
  <c r="Z38" i="9"/>
  <c r="Y38" i="9"/>
  <c r="X38" i="9"/>
  <c r="K210" i="9"/>
  <c r="J210" i="9"/>
  <c r="J332" i="9" s="1"/>
  <c r="J350" i="9" s="1"/>
  <c r="L326" i="9"/>
  <c r="I332" i="9"/>
  <c r="I350" i="9" s="1"/>
  <c r="J258" i="9"/>
  <c r="L258" i="9"/>
  <c r="C258" i="9"/>
  <c r="K258" i="9"/>
  <c r="F258" i="9"/>
  <c r="I258" i="9"/>
  <c r="G258" i="9"/>
  <c r="E258" i="9"/>
  <c r="H258" i="9"/>
  <c r="D258" i="9"/>
  <c r="B258" i="9"/>
  <c r="B266" i="9"/>
  <c r="E92" i="9"/>
  <c r="E89" i="9" s="1"/>
  <c r="E90" i="9" s="1"/>
  <c r="C46" i="9"/>
  <c r="C47" i="9" s="1"/>
  <c r="C92" i="9"/>
  <c r="D92" i="9"/>
  <c r="L111" i="9"/>
  <c r="F113" i="9"/>
  <c r="J273" i="9"/>
  <c r="F273" i="9"/>
  <c r="J113" i="9"/>
  <c r="G273" i="9"/>
  <c r="E273" i="9"/>
  <c r="I273" i="9"/>
  <c r="B273" i="9"/>
  <c r="C273" i="9"/>
  <c r="L273" i="9"/>
  <c r="H273" i="9"/>
  <c r="D273" i="9"/>
  <c r="K273" i="9"/>
  <c r="F46" i="9"/>
  <c r="F47" i="9" s="1"/>
  <c r="E46" i="9"/>
  <c r="E47" i="9" s="1"/>
  <c r="L92" i="9"/>
  <c r="I46" i="9"/>
  <c r="I47" i="9" s="1"/>
  <c r="K46" i="9"/>
  <c r="K47" i="9" s="1"/>
  <c r="G46" i="9"/>
  <c r="G47" i="9" s="1"/>
  <c r="B46" i="9"/>
  <c r="B47" i="9" s="1"/>
  <c r="F92" i="9"/>
  <c r="G92" i="9"/>
  <c r="K92" i="9"/>
  <c r="L46" i="9"/>
  <c r="L47" i="9" s="1"/>
  <c r="C113" i="9"/>
  <c r="I92" i="9"/>
  <c r="L113" i="9"/>
  <c r="H46" i="9"/>
  <c r="H47" i="9" s="1"/>
  <c r="I113" i="9"/>
  <c r="D113" i="9"/>
  <c r="H92" i="9"/>
  <c r="C50" i="9"/>
  <c r="K113" i="9"/>
  <c r="J92" i="9"/>
  <c r="G113" i="9"/>
  <c r="E113" i="9"/>
  <c r="H113" i="9"/>
  <c r="J46" i="9"/>
  <c r="J47" i="9" s="1"/>
  <c r="D46" i="9"/>
  <c r="D47" i="9" s="1"/>
  <c r="B96" i="9"/>
  <c r="B92" i="9"/>
  <c r="H285" i="9"/>
  <c r="B285" i="9"/>
  <c r="O168" i="9" l="1"/>
  <c r="K351" i="19"/>
  <c r="L331" i="18"/>
  <c r="L350" i="19"/>
  <c r="L351" i="19" s="1"/>
  <c r="P168" i="19"/>
  <c r="Q168" i="19" s="1"/>
  <c r="O173" i="18"/>
  <c r="P173" i="18" s="1"/>
  <c r="F351" i="18"/>
  <c r="Q295" i="19"/>
  <c r="O173" i="19"/>
  <c r="F182" i="9"/>
  <c r="F182" i="18"/>
  <c r="F179" i="18" s="1"/>
  <c r="F180" i="18" s="1"/>
  <c r="F182" i="19"/>
  <c r="F179" i="19" s="1"/>
  <c r="F180" i="19" s="1"/>
  <c r="O278" i="19"/>
  <c r="M38" i="18"/>
  <c r="M259" i="18"/>
  <c r="M255" i="18"/>
  <c r="M326" i="18" s="1"/>
  <c r="M347" i="18" s="1"/>
  <c r="M49" i="18"/>
  <c r="M74" i="18"/>
  <c r="M270" i="18"/>
  <c r="Q295" i="18"/>
  <c r="P292" i="18"/>
  <c r="Q210" i="19"/>
  <c r="Q260" i="19"/>
  <c r="N173" i="19"/>
  <c r="P276" i="18"/>
  <c r="M202" i="18"/>
  <c r="M203" i="18" s="1"/>
  <c r="M205" i="18"/>
  <c r="M349" i="18"/>
  <c r="P168" i="9"/>
  <c r="Q168" i="9" s="1"/>
  <c r="M205" i="19"/>
  <c r="M202" i="19"/>
  <c r="M203" i="19" s="1"/>
  <c r="M349" i="19"/>
  <c r="K331" i="18"/>
  <c r="M270" i="19"/>
  <c r="M255" i="19"/>
  <c r="M326" i="19" s="1"/>
  <c r="M347" i="19" s="1"/>
  <c r="M74" i="19"/>
  <c r="M38" i="19"/>
  <c r="M49" i="19"/>
  <c r="M259" i="19"/>
  <c r="Q210" i="18"/>
  <c r="P210" i="18"/>
  <c r="L350" i="18"/>
  <c r="L351" i="18" s="1"/>
  <c r="Q260" i="18"/>
  <c r="P276" i="19"/>
  <c r="P292" i="19"/>
  <c r="H351" i="19"/>
  <c r="M111" i="9"/>
  <c r="N111" i="9" s="1"/>
  <c r="N330" i="9" s="1"/>
  <c r="J35" i="10"/>
  <c r="Q101" i="9"/>
  <c r="Q330" i="9" s="1"/>
  <c r="P330" i="9"/>
  <c r="I352" i="9"/>
  <c r="J352" i="9"/>
  <c r="N280" i="9"/>
  <c r="O280" i="9" s="1"/>
  <c r="P262" i="9"/>
  <c r="Q262" i="9" s="1"/>
  <c r="N275" i="9"/>
  <c r="O275" i="9" s="1"/>
  <c r="L89" i="9"/>
  <c r="L90" i="9" s="1"/>
  <c r="L330" i="9"/>
  <c r="K332" i="9"/>
  <c r="K350" i="9" s="1"/>
  <c r="I89" i="9"/>
  <c r="I90" i="9" s="1"/>
  <c r="F89" i="9"/>
  <c r="F90" i="9" s="1"/>
  <c r="J89" i="9"/>
  <c r="J90" i="9" s="1"/>
  <c r="D89" i="9"/>
  <c r="D90" i="9" s="1"/>
  <c r="H89" i="9"/>
  <c r="H90" i="9" s="1"/>
  <c r="G89" i="9"/>
  <c r="G90" i="9" s="1"/>
  <c r="K89" i="9"/>
  <c r="K90" i="9" s="1"/>
  <c r="E111" i="9"/>
  <c r="E330" i="9" s="1"/>
  <c r="K287" i="9"/>
  <c r="J111" i="9"/>
  <c r="J330" i="9" s="1"/>
  <c r="J333" i="9" s="1"/>
  <c r="H109" i="9"/>
  <c r="E287" i="9"/>
  <c r="G109" i="9"/>
  <c r="C285" i="9"/>
  <c r="F111" i="9"/>
  <c r="F330" i="9" s="1"/>
  <c r="C116" i="9"/>
  <c r="G111" i="9"/>
  <c r="G330" i="9" s="1"/>
  <c r="C111" i="9"/>
  <c r="C330" i="9" s="1"/>
  <c r="C333" i="9" s="1"/>
  <c r="I109" i="9"/>
  <c r="C109" i="9"/>
  <c r="F116" i="9"/>
  <c r="K111" i="9"/>
  <c r="K330" i="9" s="1"/>
  <c r="L109" i="9"/>
  <c r="I287" i="9"/>
  <c r="H287" i="9"/>
  <c r="D111" i="9"/>
  <c r="D330" i="9" s="1"/>
  <c r="I95" i="9"/>
  <c r="J285" i="9"/>
  <c r="C125" i="9"/>
  <c r="F285" i="9"/>
  <c r="G125" i="9"/>
  <c r="I125" i="9"/>
  <c r="E95" i="9"/>
  <c r="H111" i="9"/>
  <c r="H330" i="9" s="1"/>
  <c r="L285" i="9"/>
  <c r="I116" i="9"/>
  <c r="G287" i="9"/>
  <c r="D285" i="9"/>
  <c r="K96" i="9"/>
  <c r="F95" i="9"/>
  <c r="F96" i="9"/>
  <c r="E109" i="9"/>
  <c r="K285" i="9"/>
  <c r="L95" i="9"/>
  <c r="L96" i="9"/>
  <c r="J50" i="9"/>
  <c r="G95" i="9"/>
  <c r="J109" i="9"/>
  <c r="D116" i="9"/>
  <c r="D109" i="9"/>
  <c r="I96" i="9"/>
  <c r="I285" i="9"/>
  <c r="G116" i="9"/>
  <c r="F109" i="9"/>
  <c r="J116" i="9"/>
  <c r="D50" i="9"/>
  <c r="C287" i="9"/>
  <c r="L50" i="9"/>
  <c r="K50" i="9"/>
  <c r="I50" i="9"/>
  <c r="H125" i="9"/>
  <c r="C96" i="9"/>
  <c r="E116" i="9"/>
  <c r="I111" i="9"/>
  <c r="I330" i="9" s="1"/>
  <c r="I333" i="9" s="1"/>
  <c r="K109" i="9"/>
  <c r="B287" i="9"/>
  <c r="Q173" i="18" l="1"/>
  <c r="Q292" i="18"/>
  <c r="M329" i="19"/>
  <c r="M346" i="19" s="1"/>
  <c r="M282" i="19"/>
  <c r="M283" i="19" s="1"/>
  <c r="Q276" i="18"/>
  <c r="M329" i="18"/>
  <c r="M346" i="18" s="1"/>
  <c r="M282" i="18"/>
  <c r="M283" i="18" s="1"/>
  <c r="P278" i="19"/>
  <c r="G182" i="9"/>
  <c r="G182" i="19"/>
  <c r="G179" i="19" s="1"/>
  <c r="G180" i="19" s="1"/>
  <c r="G182" i="18"/>
  <c r="G179" i="18" s="1"/>
  <c r="G180" i="18" s="1"/>
  <c r="P173" i="19"/>
  <c r="M76" i="18"/>
  <c r="M79" i="18"/>
  <c r="M80" i="18" s="1"/>
  <c r="M87" i="18"/>
  <c r="M92" i="18" s="1"/>
  <c r="M94" i="18" s="1"/>
  <c r="M50" i="18"/>
  <c r="M65" i="18"/>
  <c r="M66" i="18" s="1"/>
  <c r="Q292" i="19"/>
  <c r="M212" i="19"/>
  <c r="M215" i="19"/>
  <c r="Q276" i="19"/>
  <c r="M65" i="19"/>
  <c r="M66" i="19" s="1"/>
  <c r="M50" i="19"/>
  <c r="M87" i="19"/>
  <c r="M92" i="19" s="1"/>
  <c r="M94" i="19" s="1"/>
  <c r="M79" i="19"/>
  <c r="M80" i="19" s="1"/>
  <c r="M76" i="19"/>
  <c r="M212" i="18"/>
  <c r="M215" i="18"/>
  <c r="M330" i="9"/>
  <c r="K35" i="10"/>
  <c r="J353" i="9"/>
  <c r="P280" i="9"/>
  <c r="P275" i="9"/>
  <c r="Q275" i="9" s="1"/>
  <c r="K333" i="9"/>
  <c r="L97" i="9"/>
  <c r="D287" i="9"/>
  <c r="H50" i="9"/>
  <c r="D125" i="9"/>
  <c r="E285" i="9"/>
  <c r="L125" i="9"/>
  <c r="F50" i="9"/>
  <c r="I99" i="9"/>
  <c r="J287" i="9"/>
  <c r="E96" i="9"/>
  <c r="K99" i="9"/>
  <c r="J99" i="9"/>
  <c r="C95" i="9"/>
  <c r="C89" i="9" s="1"/>
  <c r="C90" i="9" s="1"/>
  <c r="E125" i="9"/>
  <c r="C97" i="9"/>
  <c r="J96" i="9"/>
  <c r="J97" i="9" s="1"/>
  <c r="J95" i="9"/>
  <c r="H116" i="9"/>
  <c r="G50" i="9"/>
  <c r="K95" i="9"/>
  <c r="L116" i="9"/>
  <c r="L287" i="9"/>
  <c r="G96" i="9"/>
  <c r="G97" i="9" s="1"/>
  <c r="J125" i="9"/>
  <c r="K116" i="9"/>
  <c r="F125" i="9"/>
  <c r="H96" i="9"/>
  <c r="H95" i="9"/>
  <c r="F287" i="9"/>
  <c r="G285" i="9"/>
  <c r="K125" i="9"/>
  <c r="E50" i="9"/>
  <c r="D96" i="9"/>
  <c r="D97" i="9" s="1"/>
  <c r="D95" i="9"/>
  <c r="M221" i="19" l="1"/>
  <c r="M216" i="19"/>
  <c r="M95" i="19"/>
  <c r="M96" i="19"/>
  <c r="M97" i="19" s="1"/>
  <c r="M108" i="19"/>
  <c r="M95" i="18"/>
  <c r="M108" i="18"/>
  <c r="M96" i="18"/>
  <c r="M97" i="18" s="1"/>
  <c r="C9" i="16" s="1"/>
  <c r="H182" i="9"/>
  <c r="H182" i="18"/>
  <c r="H179" i="18" s="1"/>
  <c r="H180" i="18" s="1"/>
  <c r="H182" i="19"/>
  <c r="H179" i="19" s="1"/>
  <c r="H180" i="19" s="1"/>
  <c r="Q173" i="19"/>
  <c r="M221" i="18"/>
  <c r="M216" i="18"/>
  <c r="L35" i="10"/>
  <c r="F97" i="9"/>
  <c r="E97" i="9"/>
  <c r="H97" i="9"/>
  <c r="I97" i="9"/>
  <c r="K97" i="9"/>
  <c r="I182" i="9" l="1"/>
  <c r="I182" i="18"/>
  <c r="I179" i="18" s="1"/>
  <c r="I180" i="18" s="1"/>
  <c r="I182" i="19"/>
  <c r="I179" i="19" s="1"/>
  <c r="I180" i="19" s="1"/>
  <c r="M115" i="19"/>
  <c r="M109" i="19"/>
  <c r="M109" i="18"/>
  <c r="M115" i="18"/>
  <c r="M35" i="10"/>
  <c r="B202" i="9"/>
  <c r="B172" i="9"/>
  <c r="B179" i="9" s="1"/>
  <c r="B180" i="9" s="1"/>
  <c r="M345" i="19" l="1"/>
  <c r="M350" i="19" s="1"/>
  <c r="M324" i="19"/>
  <c r="M331" i="19" s="1"/>
  <c r="M124" i="19"/>
  <c r="M254" i="19"/>
  <c r="M265" i="19" s="1"/>
  <c r="M285" i="19" s="1"/>
  <c r="M116" i="19"/>
  <c r="M291" i="19"/>
  <c r="J182" i="9"/>
  <c r="J182" i="19"/>
  <c r="J179" i="19" s="1"/>
  <c r="J180" i="19" s="1"/>
  <c r="J182" i="18"/>
  <c r="J179" i="18" s="1"/>
  <c r="J180" i="18" s="1"/>
  <c r="M324" i="18"/>
  <c r="M331" i="18" s="1"/>
  <c r="M254" i="18"/>
  <c r="M265" i="18" s="1"/>
  <c r="M285" i="18" s="1"/>
  <c r="M116" i="18"/>
  <c r="M345" i="18"/>
  <c r="M350" i="18" s="1"/>
  <c r="M124" i="18"/>
  <c r="N151" i="18"/>
  <c r="M291" i="18"/>
  <c r="N35" i="10"/>
  <c r="B302" i="9"/>
  <c r="B196" i="9"/>
  <c r="B197" i="9"/>
  <c r="B214" i="9"/>
  <c r="B296" i="9"/>
  <c r="B122" i="9"/>
  <c r="B304" i="9"/>
  <c r="B305" i="9" s="1"/>
  <c r="B212" i="9"/>
  <c r="B293" i="9"/>
  <c r="B295" i="9"/>
  <c r="B223" i="9"/>
  <c r="B167" i="9"/>
  <c r="B103" i="9"/>
  <c r="B104" i="9"/>
  <c r="B297" i="9"/>
  <c r="B110" i="9"/>
  <c r="B301" i="9"/>
  <c r="G2" i="8"/>
  <c r="E2" i="8"/>
  <c r="M286" i="19" l="1"/>
  <c r="M354" i="19"/>
  <c r="M351" i="19"/>
  <c r="M286" i="18"/>
  <c r="M351" i="18"/>
  <c r="M354" i="18"/>
  <c r="K182" i="9"/>
  <c r="K182" i="18"/>
  <c r="K179" i="18" s="1"/>
  <c r="K180" i="18" s="1"/>
  <c r="K182" i="19"/>
  <c r="K179" i="19" s="1"/>
  <c r="K180" i="19" s="1"/>
  <c r="N22" i="19"/>
  <c r="N152" i="19"/>
  <c r="N275" i="19"/>
  <c r="N176" i="19"/>
  <c r="N277" i="19"/>
  <c r="N152" i="18"/>
  <c r="N22" i="18"/>
  <c r="N277" i="18"/>
  <c r="N176" i="18"/>
  <c r="N275" i="18"/>
  <c r="M294" i="19"/>
  <c r="M293" i="19"/>
  <c r="C19" i="16"/>
  <c r="M125" i="18"/>
  <c r="C14" i="16" s="1"/>
  <c r="M119" i="18"/>
  <c r="C21" i="16"/>
  <c r="M119" i="19"/>
  <c r="M125" i="19"/>
  <c r="O35" i="10"/>
  <c r="B111" i="9"/>
  <c r="B113" i="9"/>
  <c r="B106" i="9"/>
  <c r="F214" i="9"/>
  <c r="H103" i="9"/>
  <c r="E296" i="9"/>
  <c r="J103" i="9"/>
  <c r="J304" i="9"/>
  <c r="J305" i="9" s="1"/>
  <c r="L122" i="9"/>
  <c r="L218" i="9" s="1"/>
  <c r="L219" i="9" s="1"/>
  <c r="F212" i="9"/>
  <c r="I301" i="9"/>
  <c r="H122" i="9"/>
  <c r="H218" i="9" s="1"/>
  <c r="H219" i="9" s="1"/>
  <c r="F297" i="9"/>
  <c r="C103" i="9"/>
  <c r="G122" i="9"/>
  <c r="G218" i="9" s="1"/>
  <c r="G219" i="9" s="1"/>
  <c r="G304" i="9"/>
  <c r="G305" i="9" s="1"/>
  <c r="F197" i="9"/>
  <c r="K295" i="9"/>
  <c r="H302" i="9"/>
  <c r="B294" i="9"/>
  <c r="B288" i="9"/>
  <c r="H214" i="9"/>
  <c r="D167" i="9"/>
  <c r="D176" i="9" s="1"/>
  <c r="F302" i="9"/>
  <c r="H304" i="9"/>
  <c r="H305" i="9" s="1"/>
  <c r="H293" i="9"/>
  <c r="D212" i="9"/>
  <c r="L223" i="9"/>
  <c r="I223" i="9"/>
  <c r="H223" i="9"/>
  <c r="L212" i="9"/>
  <c r="C122" i="9"/>
  <c r="D295" i="9"/>
  <c r="H297" i="9"/>
  <c r="E212" i="9"/>
  <c r="J301" i="9"/>
  <c r="D103" i="9"/>
  <c r="D106" i="9" s="1"/>
  <c r="I296" i="9"/>
  <c r="C295" i="9"/>
  <c r="K103" i="9"/>
  <c r="L301" i="9"/>
  <c r="F103" i="9"/>
  <c r="C304" i="9"/>
  <c r="C305" i="9" s="1"/>
  <c r="K104" i="9"/>
  <c r="E302" i="9"/>
  <c r="C297" i="9"/>
  <c r="D297" i="9"/>
  <c r="L302" i="9"/>
  <c r="E196" i="9"/>
  <c r="E210" i="9" s="1"/>
  <c r="H301" i="9"/>
  <c r="D302" i="9"/>
  <c r="L293" i="9"/>
  <c r="F304" i="9"/>
  <c r="F305" i="9" s="1"/>
  <c r="E122" i="9"/>
  <c r="E218" i="9" s="1"/>
  <c r="E219" i="9" s="1"/>
  <c r="G293" i="9"/>
  <c r="J212" i="9"/>
  <c r="G167" i="9"/>
  <c r="G176" i="9" s="1"/>
  <c r="D214" i="9"/>
  <c r="J214" i="9"/>
  <c r="J167" i="9"/>
  <c r="J176" i="9" s="1"/>
  <c r="G301" i="9"/>
  <c r="G103" i="9"/>
  <c r="K297" i="9"/>
  <c r="J297" i="9"/>
  <c r="F122" i="9"/>
  <c r="F218" i="9" s="1"/>
  <c r="F219" i="9" s="1"/>
  <c r="D122" i="9"/>
  <c r="D218" i="9" s="1"/>
  <c r="D219" i="9" s="1"/>
  <c r="L295" i="9"/>
  <c r="I302" i="9"/>
  <c r="F167" i="9"/>
  <c r="F176" i="9" s="1"/>
  <c r="H212" i="9"/>
  <c r="J293" i="9"/>
  <c r="L214" i="9"/>
  <c r="I214" i="9"/>
  <c r="C301" i="9"/>
  <c r="L196" i="9"/>
  <c r="I167" i="9"/>
  <c r="C293" i="9"/>
  <c r="C294" i="9" s="1"/>
  <c r="E304" i="9"/>
  <c r="E305" i="9" s="1"/>
  <c r="D296" i="9"/>
  <c r="C296" i="9"/>
  <c r="J122" i="9"/>
  <c r="J218" i="9" s="1"/>
  <c r="J219" i="9" s="1"/>
  <c r="E103" i="9"/>
  <c r="J104" i="9"/>
  <c r="G212" i="9"/>
  <c r="D301" i="9"/>
  <c r="F196" i="9"/>
  <c r="F210" i="9" s="1"/>
  <c r="L297" i="9"/>
  <c r="I293" i="9"/>
  <c r="L104" i="9"/>
  <c r="C104" i="9"/>
  <c r="E293" i="9"/>
  <c r="E167" i="9"/>
  <c r="E176" i="9" s="1"/>
  <c r="L103" i="9"/>
  <c r="I104" i="9"/>
  <c r="C214" i="9"/>
  <c r="K122" i="9"/>
  <c r="K218" i="9" s="1"/>
  <c r="K219" i="9" s="1"/>
  <c r="F296" i="9"/>
  <c r="G302" i="9"/>
  <c r="D223" i="9"/>
  <c r="E301" i="9"/>
  <c r="I103" i="9"/>
  <c r="C197" i="9"/>
  <c r="K296" i="9"/>
  <c r="E223" i="9"/>
  <c r="G223" i="9"/>
  <c r="L304" i="9"/>
  <c r="L305" i="9" s="1"/>
  <c r="I122" i="9"/>
  <c r="I218" i="9" s="1"/>
  <c r="I219" i="9" s="1"/>
  <c r="G297" i="9"/>
  <c r="D196" i="9"/>
  <c r="D210" i="9" s="1"/>
  <c r="K293" i="9"/>
  <c r="C196" i="9"/>
  <c r="C210" i="9" s="1"/>
  <c r="H167" i="9"/>
  <c r="J296" i="9"/>
  <c r="I297" i="9"/>
  <c r="F223" i="9"/>
  <c r="K302" i="9"/>
  <c r="K304" i="9"/>
  <c r="K305" i="9" s="1"/>
  <c r="D293" i="9"/>
  <c r="C167" i="9"/>
  <c r="C176" i="9" s="1"/>
  <c r="I304" i="9"/>
  <c r="I305" i="9" s="1"/>
  <c r="E295" i="9"/>
  <c r="L167" i="9"/>
  <c r="L176" i="9" s="1"/>
  <c r="F301" i="9"/>
  <c r="G214" i="9"/>
  <c r="D197" i="9"/>
  <c r="D198" i="9" s="1"/>
  <c r="F293" i="9"/>
  <c r="C302" i="9"/>
  <c r="K214" i="9"/>
  <c r="K212" i="9"/>
  <c r="E297" i="9"/>
  <c r="K223" i="9"/>
  <c r="H296" i="9"/>
  <c r="J302" i="9"/>
  <c r="G196" i="9"/>
  <c r="E214" i="9"/>
  <c r="J295" i="9"/>
  <c r="G296" i="9"/>
  <c r="I212" i="9"/>
  <c r="G295" i="9"/>
  <c r="D304" i="9"/>
  <c r="D305" i="9" s="1"/>
  <c r="H295" i="9"/>
  <c r="L296" i="9"/>
  <c r="F295" i="9"/>
  <c r="K167" i="9"/>
  <c r="J223" i="9"/>
  <c r="K301" i="9"/>
  <c r="E197" i="9"/>
  <c r="I295" i="9"/>
  <c r="C315" i="18" l="1"/>
  <c r="C316" i="18"/>
  <c r="H176" i="9"/>
  <c r="H177" i="9" s="1"/>
  <c r="M167" i="9"/>
  <c r="I176" i="9"/>
  <c r="J177" i="9" s="1"/>
  <c r="M120" i="19"/>
  <c r="M121" i="19" s="1"/>
  <c r="M218" i="19" s="1"/>
  <c r="M219" i="19" s="1"/>
  <c r="M296" i="19"/>
  <c r="N23" i="19"/>
  <c r="N161" i="19"/>
  <c r="N37" i="19"/>
  <c r="N177" i="18"/>
  <c r="N197" i="18"/>
  <c r="N172" i="18"/>
  <c r="N330" i="18" s="1"/>
  <c r="N348" i="18" s="1"/>
  <c r="L182" i="9"/>
  <c r="L182" i="18"/>
  <c r="L179" i="18" s="1"/>
  <c r="L180" i="18" s="1"/>
  <c r="L182" i="19"/>
  <c r="L179" i="19" s="1"/>
  <c r="L180" i="19" s="1"/>
  <c r="C315" i="19"/>
  <c r="C316" i="19"/>
  <c r="N161" i="18"/>
  <c r="N23" i="18"/>
  <c r="N37" i="18"/>
  <c r="M294" i="18"/>
  <c r="M293" i="18"/>
  <c r="N197" i="19"/>
  <c r="N177" i="19"/>
  <c r="N172" i="19"/>
  <c r="N330" i="19" s="1"/>
  <c r="N348" i="19" s="1"/>
  <c r="C198" i="9"/>
  <c r="C205" i="9" s="1"/>
  <c r="C207" i="9" s="1"/>
  <c r="C208" i="9" s="1"/>
  <c r="E177" i="9"/>
  <c r="D177" i="9"/>
  <c r="H198" i="9"/>
  <c r="H205" i="9" s="1"/>
  <c r="H207" i="9" s="1"/>
  <c r="H208" i="9" s="1"/>
  <c r="J198" i="9"/>
  <c r="J205" i="9" s="1"/>
  <c r="J207" i="9" s="1"/>
  <c r="J208" i="9" s="1"/>
  <c r="F177" i="9"/>
  <c r="G198" i="9"/>
  <c r="G205" i="9" s="1"/>
  <c r="G207" i="9" s="1"/>
  <c r="G208" i="9" s="1"/>
  <c r="G177" i="9"/>
  <c r="L198" i="9"/>
  <c r="L205" i="9" s="1"/>
  <c r="L207" i="9" s="1"/>
  <c r="L208" i="9" s="1"/>
  <c r="F198" i="9"/>
  <c r="F205" i="9" s="1"/>
  <c r="F207" i="9" s="1"/>
  <c r="F208" i="9" s="1"/>
  <c r="E198" i="9"/>
  <c r="E205" i="9" s="1"/>
  <c r="E207" i="9" s="1"/>
  <c r="E208" i="9" s="1"/>
  <c r="C123" i="9"/>
  <c r="C218" i="9"/>
  <c r="C219" i="9" s="1"/>
  <c r="D351" i="9"/>
  <c r="E351" i="9"/>
  <c r="F351" i="9"/>
  <c r="G351" i="9"/>
  <c r="H351" i="9"/>
  <c r="L351" i="9"/>
  <c r="M297" i="9"/>
  <c r="N297" i="9" s="1"/>
  <c r="C352" i="9"/>
  <c r="G210" i="9"/>
  <c r="H332" i="9" s="1"/>
  <c r="C341" i="9"/>
  <c r="K352" i="9"/>
  <c r="K353" i="9" s="1"/>
  <c r="K176" i="9"/>
  <c r="K177" i="9" s="1"/>
  <c r="D203" i="9"/>
  <c r="D216" i="9"/>
  <c r="C203" i="9"/>
  <c r="C216" i="9"/>
  <c r="L203" i="9"/>
  <c r="L216" i="9"/>
  <c r="J203" i="9"/>
  <c r="J216" i="9"/>
  <c r="E203" i="9"/>
  <c r="E216" i="9"/>
  <c r="F203" i="9"/>
  <c r="F216" i="9"/>
  <c r="G203" i="9"/>
  <c r="G216" i="9"/>
  <c r="H203" i="9"/>
  <c r="H216" i="9"/>
  <c r="N196" i="9"/>
  <c r="K31" i="9"/>
  <c r="H31" i="9"/>
  <c r="L210" i="9"/>
  <c r="L99" i="9"/>
  <c r="D332" i="9"/>
  <c r="F332" i="9"/>
  <c r="E332" i="9"/>
  <c r="E31" i="9"/>
  <c r="J31" i="9"/>
  <c r="D31" i="9"/>
  <c r="F31" i="9"/>
  <c r="G31" i="9"/>
  <c r="L31" i="9"/>
  <c r="I31" i="9"/>
  <c r="M123" i="9"/>
  <c r="H99" i="9"/>
  <c r="D205" i="9"/>
  <c r="D207" i="9" s="1"/>
  <c r="D208" i="9" s="1"/>
  <c r="L106" i="9"/>
  <c r="E106" i="9"/>
  <c r="G106" i="9"/>
  <c r="H106" i="9"/>
  <c r="F106" i="9"/>
  <c r="I106" i="9"/>
  <c r="K106" i="9"/>
  <c r="C106" i="9"/>
  <c r="J106" i="9"/>
  <c r="G123" i="9"/>
  <c r="I123" i="9"/>
  <c r="L123" i="9"/>
  <c r="D123" i="9"/>
  <c r="C99" i="9"/>
  <c r="K123" i="9"/>
  <c r="D99" i="9"/>
  <c r="F123" i="9"/>
  <c r="J123" i="9"/>
  <c r="E123" i="9"/>
  <c r="J294" i="9"/>
  <c r="J288" i="9"/>
  <c r="E99" i="9"/>
  <c r="E294" i="9"/>
  <c r="E288" i="9"/>
  <c r="I294" i="9"/>
  <c r="I288" i="9"/>
  <c r="C288" i="9"/>
  <c r="G294" i="9"/>
  <c r="G288" i="9"/>
  <c r="F294" i="9"/>
  <c r="F288" i="9"/>
  <c r="H288" i="9"/>
  <c r="H294" i="9"/>
  <c r="H123" i="9"/>
  <c r="G99" i="9"/>
  <c r="F99" i="9"/>
  <c r="D294" i="9"/>
  <c r="D288" i="9"/>
  <c r="K294" i="9"/>
  <c r="K288" i="9"/>
  <c r="L294" i="9"/>
  <c r="M294" i="9" s="1"/>
  <c r="N294" i="9" s="1"/>
  <c r="O294" i="9" s="1"/>
  <c r="P294" i="9" s="1"/>
  <c r="Q294" i="9" s="1"/>
  <c r="L288" i="9"/>
  <c r="M110" i="9"/>
  <c r="N110" i="9" s="1"/>
  <c r="I216" i="9" l="1"/>
  <c r="N74" i="19"/>
  <c r="N270" i="19"/>
  <c r="N49" i="19"/>
  <c r="N50" i="19" s="1"/>
  <c r="N65" i="19"/>
  <c r="N66" i="19" s="1"/>
  <c r="N38" i="19"/>
  <c r="N255" i="19"/>
  <c r="N326" i="19" s="1"/>
  <c r="N347" i="19" s="1"/>
  <c r="N259" i="19"/>
  <c r="I177" i="9"/>
  <c r="C317" i="19"/>
  <c r="I198" i="9"/>
  <c r="I205" i="9" s="1"/>
  <c r="I207" i="9" s="1"/>
  <c r="I208" i="9" s="1"/>
  <c r="N167" i="9"/>
  <c r="O167" i="9" s="1"/>
  <c r="I203" i="9"/>
  <c r="M120" i="18"/>
  <c r="M121" i="18" s="1"/>
  <c r="M218" i="18" s="1"/>
  <c r="M219" i="18" s="1"/>
  <c r="M296" i="18"/>
  <c r="N202" i="19"/>
  <c r="N203" i="19" s="1"/>
  <c r="N349" i="19"/>
  <c r="N205" i="19"/>
  <c r="N215" i="19" s="1"/>
  <c r="N219" i="19" s="1"/>
  <c r="N49" i="18"/>
  <c r="N50" i="18" s="1"/>
  <c r="N38" i="18"/>
  <c r="N270" i="18"/>
  <c r="N65" i="18"/>
  <c r="N66" i="18" s="1"/>
  <c r="N74" i="18"/>
  <c r="N255" i="18"/>
  <c r="N326" i="18" s="1"/>
  <c r="N347" i="18" s="1"/>
  <c r="N259" i="18"/>
  <c r="N202" i="18"/>
  <c r="N203" i="18" s="1"/>
  <c r="N349" i="18"/>
  <c r="N205" i="18"/>
  <c r="C317" i="18"/>
  <c r="L177" i="9"/>
  <c r="K203" i="9"/>
  <c r="K198" i="9"/>
  <c r="K205" i="9" s="1"/>
  <c r="K207" i="9" s="1"/>
  <c r="K208" i="9" s="1"/>
  <c r="H333" i="9"/>
  <c r="H350" i="9"/>
  <c r="H352" i="9" s="1"/>
  <c r="D333" i="9"/>
  <c r="D350" i="9"/>
  <c r="D352" i="9" s="1"/>
  <c r="D353" i="9" s="1"/>
  <c r="O297" i="9"/>
  <c r="P297" i="9" s="1"/>
  <c r="Q297" i="9" s="1"/>
  <c r="E333" i="9"/>
  <c r="E350" i="9"/>
  <c r="E352" i="9" s="1"/>
  <c r="G332" i="9"/>
  <c r="F333" i="9"/>
  <c r="F350" i="9"/>
  <c r="F352" i="9" s="1"/>
  <c r="K216" i="9"/>
  <c r="O196" i="9"/>
  <c r="E179" i="9"/>
  <c r="E180" i="9" s="1"/>
  <c r="E173" i="9"/>
  <c r="L179" i="9"/>
  <c r="L180" i="9" s="1"/>
  <c r="L173" i="9"/>
  <c r="I179" i="9"/>
  <c r="I180" i="9" s="1"/>
  <c r="I173" i="9"/>
  <c r="J179" i="9"/>
  <c r="J180" i="9" s="1"/>
  <c r="J173" i="9"/>
  <c r="C179" i="9"/>
  <c r="C180" i="9" s="1"/>
  <c r="C173" i="9"/>
  <c r="K179" i="9"/>
  <c r="K180" i="9" s="1"/>
  <c r="K173" i="9"/>
  <c r="G179" i="9"/>
  <c r="G180" i="9" s="1"/>
  <c r="G173" i="9"/>
  <c r="H179" i="9"/>
  <c r="H180" i="9" s="1"/>
  <c r="H173" i="9"/>
  <c r="F179" i="9"/>
  <c r="F180" i="9" s="1"/>
  <c r="F173" i="9"/>
  <c r="D179" i="9"/>
  <c r="D180" i="9" s="1"/>
  <c r="D173" i="9"/>
  <c r="L332" i="9"/>
  <c r="O110" i="9"/>
  <c r="P110" i="9" s="1"/>
  <c r="Q110" i="9" s="1"/>
  <c r="N79" i="18" l="1"/>
  <c r="N80" i="18" s="1"/>
  <c r="N87" i="18"/>
  <c r="N92" i="18" s="1"/>
  <c r="N94" i="18" s="1"/>
  <c r="N76" i="18"/>
  <c r="N333" i="19"/>
  <c r="Q333" i="19"/>
  <c r="O333" i="19"/>
  <c r="M333" i="19"/>
  <c r="M334" i="19" s="1"/>
  <c r="P333" i="19"/>
  <c r="N329" i="18"/>
  <c r="N346" i="18" s="1"/>
  <c r="N282" i="18"/>
  <c r="N283" i="18" s="1"/>
  <c r="N212" i="19"/>
  <c r="Q333" i="18"/>
  <c r="P333" i="18"/>
  <c r="O333" i="18"/>
  <c r="M333" i="18"/>
  <c r="M334" i="18" s="1"/>
  <c r="N333" i="18"/>
  <c r="N329" i="19"/>
  <c r="N346" i="19" s="1"/>
  <c r="N282" i="19"/>
  <c r="N283" i="19" s="1"/>
  <c r="N212" i="18"/>
  <c r="N215" i="18"/>
  <c r="N76" i="19"/>
  <c r="N87" i="19"/>
  <c r="N92" i="19" s="1"/>
  <c r="N94" i="19" s="1"/>
  <c r="N79" i="19"/>
  <c r="N80" i="19" s="1"/>
  <c r="P167" i="9"/>
  <c r="Q167" i="9" s="1"/>
  <c r="E353" i="9"/>
  <c r="I353" i="9"/>
  <c r="F353" i="9"/>
  <c r="G333" i="9"/>
  <c r="G350" i="9"/>
  <c r="G352" i="9" s="1"/>
  <c r="G353" i="9" s="1"/>
  <c r="L333" i="9"/>
  <c r="L350" i="9"/>
  <c r="L352" i="9" s="1"/>
  <c r="L353" i="9" s="1"/>
  <c r="P196" i="9"/>
  <c r="N216" i="19" l="1"/>
  <c r="N221" i="19"/>
  <c r="B315" i="19"/>
  <c r="B316" i="19"/>
  <c r="N108" i="19"/>
  <c r="N96" i="19"/>
  <c r="N97" i="19" s="1"/>
  <c r="D11" i="16" s="1"/>
  <c r="N95" i="19"/>
  <c r="B316" i="18"/>
  <c r="B315" i="18"/>
  <c r="B317" i="18" s="1"/>
  <c r="N221" i="18"/>
  <c r="N216" i="18"/>
  <c r="N95" i="18"/>
  <c r="N108" i="18"/>
  <c r="N96" i="18"/>
  <c r="N97" i="18" s="1"/>
  <c r="D9" i="16" s="1"/>
  <c r="H353" i="9"/>
  <c r="Q196" i="9"/>
  <c r="N173" i="9"/>
  <c r="O173" i="9" s="1"/>
  <c r="B317" i="19" l="1"/>
  <c r="N109" i="19"/>
  <c r="N115" i="19"/>
  <c r="N115" i="18"/>
  <c r="N109" i="18"/>
  <c r="P173" i="9"/>
  <c r="N324" i="19" l="1"/>
  <c r="N331" i="19" s="1"/>
  <c r="N334" i="19" s="1"/>
  <c r="N254" i="19"/>
  <c r="N265" i="19" s="1"/>
  <c r="N285" i="19" s="1"/>
  <c r="N124" i="19"/>
  <c r="N116" i="19"/>
  <c r="N345" i="19"/>
  <c r="N350" i="19" s="1"/>
  <c r="N291" i="19"/>
  <c r="O151" i="19"/>
  <c r="N116" i="18"/>
  <c r="N345" i="18"/>
  <c r="N350" i="18" s="1"/>
  <c r="N124" i="18"/>
  <c r="N324" i="18"/>
  <c r="N331" i="18" s="1"/>
  <c r="N334" i="18" s="1"/>
  <c r="N254" i="18"/>
  <c r="N265" i="18" s="1"/>
  <c r="N285" i="18" s="1"/>
  <c r="N286" i="18" s="1"/>
  <c r="N291" i="18"/>
  <c r="O151" i="18"/>
  <c r="Q173" i="9"/>
  <c r="D19" i="16" l="1"/>
  <c r="N125" i="18"/>
  <c r="D14" i="16" s="1"/>
  <c r="N119" i="18"/>
  <c r="M127" i="18"/>
  <c r="O22" i="19"/>
  <c r="O152" i="19"/>
  <c r="O275" i="19"/>
  <c r="O176" i="19"/>
  <c r="O277" i="19"/>
  <c r="N294" i="18"/>
  <c r="N293" i="18"/>
  <c r="D21" i="16"/>
  <c r="N119" i="19"/>
  <c r="N125" i="19"/>
  <c r="D16" i="16" s="1"/>
  <c r="M127" i="19"/>
  <c r="O152" i="18"/>
  <c r="O22" i="18"/>
  <c r="O176" i="18"/>
  <c r="O277" i="18"/>
  <c r="O275" i="18"/>
  <c r="N286" i="19"/>
  <c r="N351" i="18"/>
  <c r="N354" i="18"/>
  <c r="N351" i="19"/>
  <c r="N354" i="19"/>
  <c r="X8" i="12"/>
  <c r="X37" i="12"/>
  <c r="X42" i="12" s="1"/>
  <c r="X54" i="12"/>
  <c r="X20" i="12"/>
  <c r="X22" i="12" s="1"/>
  <c r="O177" i="19" l="1"/>
  <c r="O197" i="19"/>
  <c r="O172" i="19"/>
  <c r="O330" i="19" s="1"/>
  <c r="O348" i="19" s="1"/>
  <c r="O161" i="19"/>
  <c r="O23" i="19"/>
  <c r="O37" i="19"/>
  <c r="O37" i="18"/>
  <c r="O161" i="18"/>
  <c r="O23" i="18"/>
  <c r="N120" i="18"/>
  <c r="N121" i="18" s="1"/>
  <c r="N218" i="18" s="1"/>
  <c r="N219" i="18" s="1"/>
  <c r="N296" i="18"/>
  <c r="O197" i="18"/>
  <c r="O177" i="18"/>
  <c r="O172" i="18"/>
  <c r="O330" i="18" s="1"/>
  <c r="O348" i="18" s="1"/>
  <c r="N294" i="19"/>
  <c r="N293" i="19"/>
  <c r="X59" i="12"/>
  <c r="X25" i="12"/>
  <c r="X56" i="12"/>
  <c r="X39" i="12"/>
  <c r="O255" i="18" l="1"/>
  <c r="O326" i="18" s="1"/>
  <c r="O347" i="18" s="1"/>
  <c r="O38" i="18"/>
  <c r="O270" i="18"/>
  <c r="O49" i="18"/>
  <c r="O50" i="18" s="1"/>
  <c r="O74" i="18"/>
  <c r="O65" i="18"/>
  <c r="O66" i="18" s="1"/>
  <c r="O259" i="18"/>
  <c r="N296" i="19"/>
  <c r="O202" i="18"/>
  <c r="O203" i="18" s="1"/>
  <c r="O349" i="18"/>
  <c r="O205" i="18"/>
  <c r="O202" i="19"/>
  <c r="O203" i="19" s="1"/>
  <c r="O349" i="19"/>
  <c r="O205" i="19"/>
  <c r="O74" i="19"/>
  <c r="O65" i="19"/>
  <c r="O66" i="19" s="1"/>
  <c r="O270" i="19"/>
  <c r="O255" i="19"/>
  <c r="O326" i="19" s="1"/>
  <c r="O347" i="19" s="1"/>
  <c r="O49" i="19"/>
  <c r="O50" i="19" s="1"/>
  <c r="O38" i="19"/>
  <c r="O259" i="19"/>
  <c r="N120" i="19"/>
  <c r="N121" i="19" s="1"/>
  <c r="N218" i="19" s="1"/>
  <c r="Y9" i="12"/>
  <c r="Y54" i="12"/>
  <c r="Y55" i="12" s="1"/>
  <c r="Y56" i="12"/>
  <c r="Y57" i="12" s="1"/>
  <c r="Y37" i="12"/>
  <c r="Y39" i="12" s="1"/>
  <c r="Y22" i="12"/>
  <c r="O76" i="18" l="1"/>
  <c r="O79" i="18"/>
  <c r="O80" i="18" s="1"/>
  <c r="O87" i="18"/>
  <c r="O92" i="18" s="1"/>
  <c r="O94" i="18" s="1"/>
  <c r="O212" i="18"/>
  <c r="O215" i="18"/>
  <c r="O329" i="18"/>
  <c r="O346" i="18" s="1"/>
  <c r="O282" i="18"/>
  <c r="O283" i="18" s="1"/>
  <c r="O212" i="19"/>
  <c r="O215" i="19"/>
  <c r="O329" i="19"/>
  <c r="O346" i="19" s="1"/>
  <c r="O282" i="19"/>
  <c r="O283" i="19" s="1"/>
  <c r="O87" i="19"/>
  <c r="O92" i="19" s="1"/>
  <c r="O94" i="19" s="1"/>
  <c r="O79" i="19"/>
  <c r="O80" i="19" s="1"/>
  <c r="O76" i="19"/>
  <c r="Y59" i="12"/>
  <c r="Y60" i="12" s="1"/>
  <c r="Y23" i="12"/>
  <c r="Y40" i="12"/>
  <c r="Y25" i="12"/>
  <c r="Y38" i="12"/>
  <c r="Y21" i="12"/>
  <c r="Y42" i="12"/>
  <c r="O216" i="19" l="1"/>
  <c r="O221" i="19"/>
  <c r="O108" i="18"/>
  <c r="O96" i="18"/>
  <c r="O97" i="18" s="1"/>
  <c r="E9" i="16" s="1"/>
  <c r="O95" i="18"/>
  <c r="O96" i="19"/>
  <c r="O97" i="19" s="1"/>
  <c r="E11" i="16" s="1"/>
  <c r="O95" i="19"/>
  <c r="O108" i="19"/>
  <c r="O216" i="18"/>
  <c r="O221" i="18"/>
  <c r="Y43" i="12"/>
  <c r="Y26" i="12"/>
  <c r="Z8" i="12"/>
  <c r="Z9" i="12" s="1"/>
  <c r="Z54" i="12"/>
  <c r="AA54" i="12" s="1"/>
  <c r="AB54" i="12" s="1"/>
  <c r="AC54" i="12" s="1"/>
  <c r="AD54" i="12" s="1"/>
  <c r="AE54" i="12" s="1"/>
  <c r="Z37" i="12"/>
  <c r="Z39" i="12" s="1"/>
  <c r="Z20" i="12"/>
  <c r="Z25" i="12" s="1"/>
  <c r="O115" i="19" l="1"/>
  <c r="O109" i="19"/>
  <c r="O115" i="18"/>
  <c r="O109" i="18"/>
  <c r="Z42" i="12"/>
  <c r="Z43" i="12" s="1"/>
  <c r="Z21" i="12"/>
  <c r="Z38" i="12"/>
  <c r="AA37" i="12"/>
  <c r="AB37" i="12" s="1"/>
  <c r="AC37" i="12" s="1"/>
  <c r="AA20" i="12"/>
  <c r="AB20" i="12" s="1"/>
  <c r="Z40" i="12"/>
  <c r="AA39" i="12"/>
  <c r="AB39" i="12" s="1"/>
  <c r="AC39" i="12" s="1"/>
  <c r="AD39" i="12" s="1"/>
  <c r="AE39" i="12" s="1"/>
  <c r="Z26" i="12"/>
  <c r="AA25" i="12"/>
  <c r="Z55" i="12"/>
  <c r="AA42" i="12"/>
  <c r="Z56" i="12"/>
  <c r="Z59" i="12"/>
  <c r="Z22" i="12"/>
  <c r="O345" i="18" l="1"/>
  <c r="O350" i="18" s="1"/>
  <c r="O116" i="18"/>
  <c r="O254" i="18"/>
  <c r="O265" i="18" s="1"/>
  <c r="O285" i="18" s="1"/>
  <c r="O324" i="18"/>
  <c r="O331" i="18" s="1"/>
  <c r="O334" i="18" s="1"/>
  <c r="O124" i="18"/>
  <c r="O291" i="18"/>
  <c r="P151" i="18"/>
  <c r="O324" i="19"/>
  <c r="O331" i="19" s="1"/>
  <c r="O334" i="19" s="1"/>
  <c r="O116" i="19"/>
  <c r="O345" i="19"/>
  <c r="O350" i="19" s="1"/>
  <c r="O254" i="19"/>
  <c r="O265" i="19" s="1"/>
  <c r="O285" i="19" s="1"/>
  <c r="O286" i="19" s="1"/>
  <c r="O124" i="19"/>
  <c r="O291" i="19"/>
  <c r="P151" i="19"/>
  <c r="AB7" i="12"/>
  <c r="AA7" i="12"/>
  <c r="AC20" i="12"/>
  <c r="AC7" i="12" s="1"/>
  <c r="AB34" i="12"/>
  <c r="AB44" i="12" s="1"/>
  <c r="AB25" i="12"/>
  <c r="AB24" i="12" s="1"/>
  <c r="AA24" i="12"/>
  <c r="AC34" i="12"/>
  <c r="AD37" i="12"/>
  <c r="AD20" i="12"/>
  <c r="AB42" i="12"/>
  <c r="AA41" i="12"/>
  <c r="Z23" i="12"/>
  <c r="AA22" i="12"/>
  <c r="AA59" i="12"/>
  <c r="Z60" i="12"/>
  <c r="AA34" i="12"/>
  <c r="AA56" i="12"/>
  <c r="Z57" i="12"/>
  <c r="O351" i="19" l="1"/>
  <c r="O354" i="19"/>
  <c r="O294" i="19"/>
  <c r="O293" i="19"/>
  <c r="P22" i="18"/>
  <c r="P152" i="18"/>
  <c r="P277" i="18"/>
  <c r="P176" i="18"/>
  <c r="P275" i="18"/>
  <c r="O286" i="18"/>
  <c r="C4" i="11"/>
  <c r="D4" i="11" s="1"/>
  <c r="E21" i="16"/>
  <c r="O125" i="19"/>
  <c r="E16" i="16" s="1"/>
  <c r="O119" i="19"/>
  <c r="N127" i="19"/>
  <c r="F18" i="14" s="1"/>
  <c r="P22" i="19"/>
  <c r="P152" i="19"/>
  <c r="P176" i="19"/>
  <c r="P275" i="19"/>
  <c r="P277" i="19"/>
  <c r="C3" i="11"/>
  <c r="D3" i="11" s="1"/>
  <c r="E19" i="16"/>
  <c r="O125" i="18"/>
  <c r="E14" i="16" s="1"/>
  <c r="O119" i="18"/>
  <c r="N127" i="18"/>
  <c r="E18" i="14" s="1"/>
  <c r="O351" i="18"/>
  <c r="O354" i="18"/>
  <c r="AC35" i="12"/>
  <c r="AC44" i="12"/>
  <c r="AC42" i="12"/>
  <c r="AB41" i="12"/>
  <c r="AA44" i="12"/>
  <c r="AA47" i="12" s="1"/>
  <c r="AA35" i="12"/>
  <c r="AC25" i="12"/>
  <c r="AA51" i="12"/>
  <c r="AB56" i="12"/>
  <c r="AB22" i="12"/>
  <c r="AA17" i="12"/>
  <c r="AA29" i="12" s="1"/>
  <c r="AE20" i="12"/>
  <c r="AD7" i="12"/>
  <c r="AE37" i="12"/>
  <c r="AE34" i="12" s="1"/>
  <c r="AD34" i="12"/>
  <c r="AA58" i="12"/>
  <c r="AA10" i="12" s="1"/>
  <c r="AO10" i="12" s="1"/>
  <c r="AB59" i="12"/>
  <c r="AB35" i="12"/>
  <c r="AA46" i="12"/>
  <c r="O294" i="18" l="1"/>
  <c r="O293" i="18"/>
  <c r="P197" i="19"/>
  <c r="P177" i="19"/>
  <c r="P172" i="19"/>
  <c r="P330" i="19" s="1"/>
  <c r="P348" i="19" s="1"/>
  <c r="P161" i="19"/>
  <c r="P37" i="19"/>
  <c r="P23" i="19"/>
  <c r="P23" i="18"/>
  <c r="P161" i="18"/>
  <c r="P37" i="18"/>
  <c r="F27" i="14"/>
  <c r="F28" i="14" s="1"/>
  <c r="F19" i="14"/>
  <c r="E19" i="14"/>
  <c r="E27" i="14"/>
  <c r="E28" i="14" s="1"/>
  <c r="O120" i="19"/>
  <c r="O121" i="19" s="1"/>
  <c r="O218" i="19" s="1"/>
  <c r="D11" i="11" s="1"/>
  <c r="O296" i="19"/>
  <c r="P177" i="18"/>
  <c r="P197" i="18"/>
  <c r="P172" i="18"/>
  <c r="P330" i="18" s="1"/>
  <c r="P348" i="18" s="1"/>
  <c r="AA63" i="12"/>
  <c r="AD44" i="12"/>
  <c r="AD35" i="12"/>
  <c r="AD42" i="12"/>
  <c r="AC41" i="12"/>
  <c r="AC22" i="12"/>
  <c r="AB17" i="12"/>
  <c r="AE7" i="12"/>
  <c r="AD25" i="12"/>
  <c r="AC24" i="12"/>
  <c r="AE35" i="12"/>
  <c r="AE44" i="12"/>
  <c r="AB46" i="12"/>
  <c r="AB47" i="12"/>
  <c r="AA27" i="12"/>
  <c r="AA5" i="12"/>
  <c r="AA18" i="12"/>
  <c r="AC56" i="12"/>
  <c r="AB51" i="12"/>
  <c r="AB58" i="12"/>
  <c r="AB10" i="12" s="1"/>
  <c r="AC59" i="12"/>
  <c r="AA52" i="12"/>
  <c r="AA61" i="12"/>
  <c r="AA64" i="12" s="1"/>
  <c r="P65" i="19" l="1"/>
  <c r="P66" i="19" s="1"/>
  <c r="P255" i="19"/>
  <c r="P326" i="19" s="1"/>
  <c r="P347" i="19" s="1"/>
  <c r="P49" i="19"/>
  <c r="P50" i="19" s="1"/>
  <c r="P270" i="19"/>
  <c r="P38" i="19"/>
  <c r="P74" i="19"/>
  <c r="P259" i="19"/>
  <c r="P202" i="19"/>
  <c r="P203" i="19" s="1"/>
  <c r="P349" i="19"/>
  <c r="P205" i="19"/>
  <c r="P202" i="18"/>
  <c r="P203" i="18" s="1"/>
  <c r="P349" i="18"/>
  <c r="P205" i="18"/>
  <c r="O120" i="18"/>
  <c r="O121" i="18" s="1"/>
  <c r="O218" i="18" s="1"/>
  <c r="C10" i="11" s="1"/>
  <c r="D10" i="11" s="1"/>
  <c r="O296" i="18"/>
  <c r="P255" i="18"/>
  <c r="P326" i="18" s="1"/>
  <c r="P347" i="18" s="1"/>
  <c r="P49" i="18"/>
  <c r="P50" i="18" s="1"/>
  <c r="P65" i="18"/>
  <c r="P66" i="18" s="1"/>
  <c r="P38" i="18"/>
  <c r="P74" i="18"/>
  <c r="P270" i="18"/>
  <c r="P259" i="18"/>
  <c r="AB63" i="12"/>
  <c r="AA11" i="12"/>
  <c r="AO11" i="12" s="1"/>
  <c r="AB5" i="12"/>
  <c r="AB19" i="12" s="1"/>
  <c r="AB18" i="12"/>
  <c r="AB27" i="12"/>
  <c r="AB30" i="12" s="1"/>
  <c r="AD41" i="12"/>
  <c r="AE42" i="12"/>
  <c r="AE41" i="12" s="1"/>
  <c r="AD56" i="12"/>
  <c r="AC51" i="12"/>
  <c r="AA8" i="12"/>
  <c r="AA9" i="12" s="1"/>
  <c r="AA13" i="12"/>
  <c r="AA65" i="12" s="1"/>
  <c r="AO5" i="12"/>
  <c r="AO6" i="12" s="1"/>
  <c r="AA6" i="12"/>
  <c r="AA36" i="12"/>
  <c r="AB29" i="12"/>
  <c r="AC46" i="12"/>
  <c r="AC47" i="12"/>
  <c r="AD59" i="12"/>
  <c r="AC58" i="12"/>
  <c r="AB61" i="12"/>
  <c r="AB64" i="12" s="1"/>
  <c r="AB53" i="12"/>
  <c r="AB52" i="12"/>
  <c r="AA19" i="12"/>
  <c r="AA30" i="12"/>
  <c r="AD22" i="12"/>
  <c r="AC17" i="12"/>
  <c r="AA53" i="12"/>
  <c r="AA12" i="12"/>
  <c r="AE25" i="12"/>
  <c r="AE24" i="12" s="1"/>
  <c r="AD24" i="12"/>
  <c r="P212" i="19" l="1"/>
  <c r="P215" i="19"/>
  <c r="P329" i="18"/>
  <c r="P346" i="18" s="1"/>
  <c r="P282" i="18"/>
  <c r="P283" i="18" s="1"/>
  <c r="P329" i="19"/>
  <c r="P346" i="19" s="1"/>
  <c r="P282" i="19"/>
  <c r="P283" i="19" s="1"/>
  <c r="P87" i="18"/>
  <c r="P92" i="18" s="1"/>
  <c r="P94" i="18" s="1"/>
  <c r="P79" i="18"/>
  <c r="P80" i="18" s="1"/>
  <c r="P76" i="18"/>
  <c r="P87" i="19"/>
  <c r="P92" i="19" s="1"/>
  <c r="P94" i="19" s="1"/>
  <c r="P76" i="19"/>
  <c r="P79" i="19"/>
  <c r="P80" i="19" s="1"/>
  <c r="P212" i="18"/>
  <c r="P215" i="18"/>
  <c r="M14" i="9"/>
  <c r="M13" i="9" s="1"/>
  <c r="AO13" i="12"/>
  <c r="AO14" i="12"/>
  <c r="AO15" i="12" s="1"/>
  <c r="AA14" i="12"/>
  <c r="AA48" i="12"/>
  <c r="AC52" i="12"/>
  <c r="AC61" i="12"/>
  <c r="AC64" i="12" s="1"/>
  <c r="AD46" i="12"/>
  <c r="AD47" i="12"/>
  <c r="AC63" i="12"/>
  <c r="AC18" i="12"/>
  <c r="AC27" i="12"/>
  <c r="AC5" i="12"/>
  <c r="AC19" i="12" s="1"/>
  <c r="AE59" i="12"/>
  <c r="AE58" i="12" s="1"/>
  <c r="AE10" i="12" s="1"/>
  <c r="AD58" i="12"/>
  <c r="AE22" i="12"/>
  <c r="AE17" i="12" s="1"/>
  <c r="AE29" i="12" s="1"/>
  <c r="AD17" i="12"/>
  <c r="M11" i="9"/>
  <c r="AE46" i="12"/>
  <c r="AE47" i="12"/>
  <c r="AB12" i="12"/>
  <c r="AB11" i="12"/>
  <c r="AO12" i="12"/>
  <c r="AE56" i="12"/>
  <c r="AE51" i="12" s="1"/>
  <c r="AD51" i="12"/>
  <c r="AA31" i="12"/>
  <c r="AC10" i="12"/>
  <c r="AC29" i="12"/>
  <c r="AB6" i="12"/>
  <c r="AB8" i="12"/>
  <c r="AB36" i="12"/>
  <c r="P95" i="19" l="1"/>
  <c r="P96" i="19"/>
  <c r="P97" i="19" s="1"/>
  <c r="P108" i="19"/>
  <c r="P221" i="18"/>
  <c r="P216" i="18"/>
  <c r="P216" i="19"/>
  <c r="P221" i="19"/>
  <c r="P95" i="18"/>
  <c r="P96" i="18"/>
  <c r="P97" i="18" s="1"/>
  <c r="P108" i="18"/>
  <c r="M191" i="9"/>
  <c r="M164" i="9"/>
  <c r="M62" i="9"/>
  <c r="M28" i="9"/>
  <c r="M57" i="9"/>
  <c r="M55" i="9" s="1"/>
  <c r="AC53" i="12"/>
  <c r="AE61" i="12"/>
  <c r="AE64" i="12" s="1"/>
  <c r="AE52" i="12"/>
  <c r="AD63" i="12"/>
  <c r="AD18" i="12"/>
  <c r="AD5" i="12"/>
  <c r="AD53" i="12" s="1"/>
  <c r="AD27" i="12"/>
  <c r="AE63" i="12"/>
  <c r="AC11" i="12"/>
  <c r="AC13" i="12" s="1"/>
  <c r="AC65" i="12" s="1"/>
  <c r="AD52" i="12"/>
  <c r="AD61" i="12"/>
  <c r="AD64" i="12" s="1"/>
  <c r="AB13" i="12"/>
  <c r="AB65" i="12" s="1"/>
  <c r="AC6" i="12"/>
  <c r="AC8" i="12"/>
  <c r="AC36" i="12"/>
  <c r="M155" i="9"/>
  <c r="M68" i="9"/>
  <c r="M184" i="9"/>
  <c r="M187" i="9"/>
  <c r="M12" i="9"/>
  <c r="M158" i="9"/>
  <c r="M71" i="9"/>
  <c r="AD29" i="12"/>
  <c r="AE18" i="12"/>
  <c r="AE5" i="12"/>
  <c r="AE19" i="12" s="1"/>
  <c r="AE27" i="12"/>
  <c r="AE11" i="12" s="1"/>
  <c r="AC30" i="12"/>
  <c r="AC12" i="12"/>
  <c r="AD10" i="12"/>
  <c r="AP10" i="12" s="1"/>
  <c r="P109" i="19" l="1"/>
  <c r="P115" i="19"/>
  <c r="P115" i="18"/>
  <c r="P109" i="18"/>
  <c r="M53" i="9"/>
  <c r="M56" i="9"/>
  <c r="AP5" i="12"/>
  <c r="AD11" i="12"/>
  <c r="AP11" i="12" s="1"/>
  <c r="AD19" i="12"/>
  <c r="AC14" i="12"/>
  <c r="AC48" i="12"/>
  <c r="AD12" i="12"/>
  <c r="M210" i="9"/>
  <c r="AE8" i="12"/>
  <c r="AE6" i="12"/>
  <c r="AE13" i="12"/>
  <c r="AE65" i="12" s="1"/>
  <c r="AE36" i="12"/>
  <c r="AE53" i="12"/>
  <c r="AE30" i="12"/>
  <c r="AD30" i="12"/>
  <c r="AC31" i="12"/>
  <c r="AD6" i="12"/>
  <c r="AD8" i="12"/>
  <c r="AD9" i="12" s="1"/>
  <c r="AD36" i="12"/>
  <c r="AB14" i="12"/>
  <c r="AB48" i="12"/>
  <c r="AB31" i="12"/>
  <c r="AE12" i="12"/>
  <c r="P345" i="18" l="1"/>
  <c r="P350" i="18" s="1"/>
  <c r="P116" i="18"/>
  <c r="P324" i="18"/>
  <c r="P331" i="18" s="1"/>
  <c r="P334" i="18" s="1"/>
  <c r="P254" i="18"/>
  <c r="P265" i="18" s="1"/>
  <c r="P285" i="18" s="1"/>
  <c r="P124" i="18"/>
  <c r="P291" i="18"/>
  <c r="Q151" i="18"/>
  <c r="P116" i="19"/>
  <c r="P345" i="19"/>
  <c r="P350" i="19" s="1"/>
  <c r="P124" i="19"/>
  <c r="P324" i="19"/>
  <c r="P331" i="19" s="1"/>
  <c r="P334" i="19" s="1"/>
  <c r="P254" i="19"/>
  <c r="P265" i="19" s="1"/>
  <c r="P285" i="19" s="1"/>
  <c r="P286" i="19" s="1"/>
  <c r="P291" i="19"/>
  <c r="Q151" i="19"/>
  <c r="M54" i="9"/>
  <c r="M78" i="9"/>
  <c r="AD13" i="12"/>
  <c r="AD65" i="12" s="1"/>
  <c r="AE9" i="12"/>
  <c r="AP13" i="12"/>
  <c r="AP6" i="12"/>
  <c r="AQ5" i="12"/>
  <c r="AE31" i="12"/>
  <c r="AP12" i="12"/>
  <c r="AE48" i="12"/>
  <c r="P294" i="19" l="1"/>
  <c r="P293" i="19"/>
  <c r="P125" i="18"/>
  <c r="P119" i="18"/>
  <c r="P286" i="18"/>
  <c r="P351" i="19"/>
  <c r="P354" i="19"/>
  <c r="P125" i="19"/>
  <c r="P119" i="19"/>
  <c r="Q152" i="19"/>
  <c r="Q277" i="19"/>
  <c r="Q22" i="19"/>
  <c r="Q176" i="19"/>
  <c r="Q275" i="19"/>
  <c r="Q22" i="18"/>
  <c r="Q277" i="18"/>
  <c r="Q152" i="18"/>
  <c r="Q176" i="18"/>
  <c r="Q275" i="18"/>
  <c r="P351" i="18"/>
  <c r="P354" i="18"/>
  <c r="N14" i="9"/>
  <c r="N13" i="9" s="1"/>
  <c r="N11" i="9" s="1"/>
  <c r="N164" i="9" s="1"/>
  <c r="AP14" i="12"/>
  <c r="AP15" i="12" s="1"/>
  <c r="N57" i="9"/>
  <c r="AD14" i="12"/>
  <c r="AE14" i="12"/>
  <c r="AD31" i="12"/>
  <c r="AD48" i="12"/>
  <c r="AQ10" i="12"/>
  <c r="AQ11" i="12"/>
  <c r="Q37" i="19" l="1"/>
  <c r="Q161" i="19"/>
  <c r="Q23" i="19"/>
  <c r="Q197" i="18"/>
  <c r="Q177" i="18"/>
  <c r="Q172" i="18"/>
  <c r="Q330" i="18" s="1"/>
  <c r="Q348" i="18" s="1"/>
  <c r="P294" i="18"/>
  <c r="P293" i="18"/>
  <c r="Q23" i="18"/>
  <c r="Q161" i="18"/>
  <c r="Q37" i="18"/>
  <c r="Q177" i="19"/>
  <c r="Q197" i="19"/>
  <c r="Q172" i="19"/>
  <c r="Q330" i="19" s="1"/>
  <c r="Q348" i="19" s="1"/>
  <c r="P120" i="19"/>
  <c r="P121" i="19" s="1"/>
  <c r="P218" i="19" s="1"/>
  <c r="P219" i="19" s="1"/>
  <c r="P296" i="19"/>
  <c r="AQ14" i="12"/>
  <c r="N187" i="9"/>
  <c r="N12" i="9"/>
  <c r="N184" i="9"/>
  <c r="N210" i="9" s="1"/>
  <c r="O13" i="9"/>
  <c r="P13" i="9" s="1"/>
  <c r="P55" i="9" s="1"/>
  <c r="P53" i="9" s="1"/>
  <c r="N55" i="9"/>
  <c r="N56" i="9" s="1"/>
  <c r="N158" i="9"/>
  <c r="N68" i="9"/>
  <c r="N71" i="9"/>
  <c r="N191" i="9"/>
  <c r="N155" i="9"/>
  <c r="N28" i="9"/>
  <c r="N62" i="9"/>
  <c r="AQ15" i="12"/>
  <c r="Q349" i="18" l="1"/>
  <c r="Q202" i="18"/>
  <c r="Q203" i="18" s="1"/>
  <c r="Q205" i="18"/>
  <c r="Q65" i="18"/>
  <c r="Q66" i="18" s="1"/>
  <c r="Q38" i="18"/>
  <c r="Q255" i="18"/>
  <c r="Q326" i="18" s="1"/>
  <c r="Q347" i="18" s="1"/>
  <c r="Q270" i="18"/>
  <c r="Q49" i="18"/>
  <c r="Q50" i="18" s="1"/>
  <c r="Q74" i="18"/>
  <c r="Q259" i="18"/>
  <c r="P120" i="18"/>
  <c r="P121" i="18" s="1"/>
  <c r="P218" i="18" s="1"/>
  <c r="P219" i="18" s="1"/>
  <c r="P296" i="18"/>
  <c r="Q202" i="19"/>
  <c r="Q203" i="19" s="1"/>
  <c r="Q349" i="19"/>
  <c r="Q205" i="19"/>
  <c r="Q65" i="19"/>
  <c r="Q66" i="19" s="1"/>
  <c r="Q49" i="19"/>
  <c r="Q50" i="19" s="1"/>
  <c r="Q74" i="19"/>
  <c r="Q270" i="19"/>
  <c r="Q255" i="19"/>
  <c r="Q326" i="19" s="1"/>
  <c r="Q347" i="19" s="1"/>
  <c r="Q38" i="19"/>
  <c r="Q259" i="19"/>
  <c r="O55" i="9"/>
  <c r="O53" i="9" s="1"/>
  <c r="P54" i="9" s="1"/>
  <c r="P11" i="9"/>
  <c r="P28" i="9" s="1"/>
  <c r="O11" i="9"/>
  <c r="O12" i="9" s="1"/>
  <c r="Q13" i="9"/>
  <c r="N53" i="9"/>
  <c r="N54" i="9" s="1"/>
  <c r="O191" i="9"/>
  <c r="O164" i="9"/>
  <c r="O158" i="9"/>
  <c r="O28" i="9"/>
  <c r="Q11" i="9"/>
  <c r="Q55" i="9"/>
  <c r="O62" i="9"/>
  <c r="O187" i="9"/>
  <c r="O155" i="9"/>
  <c r="O184" i="9"/>
  <c r="O210" i="9" s="1"/>
  <c r="P71" i="9" l="1"/>
  <c r="P78" i="9"/>
  <c r="P12" i="9"/>
  <c r="P184" i="9"/>
  <c r="Q79" i="18"/>
  <c r="Q80" i="18" s="1"/>
  <c r="Q76" i="18"/>
  <c r="Q87" i="18"/>
  <c r="Q92" i="18" s="1"/>
  <c r="Q94" i="18" s="1"/>
  <c r="Q329" i="19"/>
  <c r="Q346" i="19" s="1"/>
  <c r="Q282" i="19"/>
  <c r="Q283" i="19" s="1"/>
  <c r="Q329" i="18"/>
  <c r="Q346" i="18" s="1"/>
  <c r="Q282" i="18"/>
  <c r="Q283" i="18" s="1"/>
  <c r="Q79" i="19"/>
  <c r="Q80" i="19" s="1"/>
  <c r="Q76" i="19"/>
  <c r="Q87" i="19"/>
  <c r="Q92" i="19" s="1"/>
  <c r="Q94" i="19" s="1"/>
  <c r="P164" i="9"/>
  <c r="O56" i="9"/>
  <c r="Q212" i="19"/>
  <c r="Q215" i="19"/>
  <c r="Q212" i="18"/>
  <c r="Q215" i="18"/>
  <c r="P56" i="9"/>
  <c r="P191" i="9"/>
  <c r="P155" i="9"/>
  <c r="P187" i="9"/>
  <c r="P158" i="9"/>
  <c r="O71" i="9"/>
  <c r="P62" i="9"/>
  <c r="P68" i="9"/>
  <c r="O68" i="9"/>
  <c r="N78" i="9"/>
  <c r="J16" i="13" s="1"/>
  <c r="Q191" i="9"/>
  <c r="Q164" i="9"/>
  <c r="Q12" i="9"/>
  <c r="Q28" i="9"/>
  <c r="P210" i="9"/>
  <c r="Q56" i="9"/>
  <c r="Q53" i="9"/>
  <c r="Q62" i="9"/>
  <c r="Q68" i="9"/>
  <c r="Q184" i="9"/>
  <c r="Q71" i="9"/>
  <c r="Q158" i="9"/>
  <c r="Q187" i="9"/>
  <c r="Q155" i="9"/>
  <c r="O54" i="9"/>
  <c r="O78" i="9"/>
  <c r="Q108" i="19" l="1"/>
  <c r="Q96" i="19"/>
  <c r="Q97" i="19" s="1"/>
  <c r="Q95" i="19"/>
  <c r="Q221" i="18"/>
  <c r="Q216" i="18"/>
  <c r="Q96" i="18"/>
  <c r="Q97" i="18" s="1"/>
  <c r="Q108" i="18"/>
  <c r="Q95" i="18"/>
  <c r="Q221" i="19"/>
  <c r="Q216" i="19"/>
  <c r="Q210" i="9"/>
  <c r="Q54" i="9"/>
  <c r="Q78" i="9"/>
  <c r="Q115" i="18" l="1"/>
  <c r="Q109" i="18"/>
  <c r="Q115" i="19"/>
  <c r="Q109" i="19"/>
  <c r="P25" i="9"/>
  <c r="O25" i="9"/>
  <c r="Q25" i="9"/>
  <c r="N25" i="9"/>
  <c r="M279" i="9"/>
  <c r="M176" i="9"/>
  <c r="M172" i="9" s="1"/>
  <c r="M332" i="9" s="1"/>
  <c r="M350" i="9" s="1"/>
  <c r="M277" i="9"/>
  <c r="M152" i="9"/>
  <c r="M22" i="9"/>
  <c r="M23" i="9" s="1"/>
  <c r="Q254" i="19" l="1"/>
  <c r="Q265" i="19" s="1"/>
  <c r="Q285" i="19" s="1"/>
  <c r="Q124" i="19"/>
  <c r="Q116" i="19"/>
  <c r="Q345" i="19"/>
  <c r="Q350" i="19" s="1"/>
  <c r="Q324" i="19"/>
  <c r="Q331" i="19" s="1"/>
  <c r="Q291" i="19"/>
  <c r="Q345" i="18"/>
  <c r="Q350" i="18" s="1"/>
  <c r="Q116" i="18"/>
  <c r="Q324" i="18"/>
  <c r="Q331" i="18" s="1"/>
  <c r="Q254" i="18"/>
  <c r="Q265" i="18" s="1"/>
  <c r="Q285" i="18" s="1"/>
  <c r="Q286" i="18" s="1"/>
  <c r="Q124" i="18"/>
  <c r="Q291" i="18"/>
  <c r="M37" i="9"/>
  <c r="M38" i="9" s="1"/>
  <c r="M161" i="9"/>
  <c r="M177" i="9"/>
  <c r="Q293" i="18" l="1"/>
  <c r="Q294" i="18"/>
  <c r="Q336" i="18"/>
  <c r="C337" i="18" s="1"/>
  <c r="Q334" i="18"/>
  <c r="C335" i="18" s="1"/>
  <c r="Q336" i="19"/>
  <c r="C337" i="19" s="1"/>
  <c r="Q334" i="19"/>
  <c r="C335" i="19" s="1"/>
  <c r="Q356" i="18"/>
  <c r="C357" i="18" s="1"/>
  <c r="Q351" i="18"/>
  <c r="Q354" i="18"/>
  <c r="C355" i="18" s="1"/>
  <c r="Q356" i="19"/>
  <c r="C357" i="19" s="1"/>
  <c r="Q351" i="19"/>
  <c r="Q354" i="19"/>
  <c r="C355" i="19" s="1"/>
  <c r="M74" i="9"/>
  <c r="Q125" i="18"/>
  <c r="Q119" i="18"/>
  <c r="M261" i="9"/>
  <c r="M257" i="9"/>
  <c r="M328" i="9" s="1"/>
  <c r="M349" i="9" s="1"/>
  <c r="Q119" i="19"/>
  <c r="Q125" i="19"/>
  <c r="Q286" i="19"/>
  <c r="M272" i="9"/>
  <c r="M49" i="9"/>
  <c r="F6" i="13" s="1"/>
  <c r="F8" i="13" s="1"/>
  <c r="M76" i="9"/>
  <c r="M79" i="9"/>
  <c r="M80" i="9" s="1"/>
  <c r="M87" i="9"/>
  <c r="M92" i="9" s="1"/>
  <c r="M205" i="9"/>
  <c r="M351" i="9"/>
  <c r="M203" i="9"/>
  <c r="C358" i="19" l="1"/>
  <c r="C359" i="19" s="1"/>
  <c r="C338" i="19"/>
  <c r="C340" i="19" s="1"/>
  <c r="C341" i="19" s="1"/>
  <c r="Q293" i="19"/>
  <c r="Q294" i="19"/>
  <c r="C338" i="18"/>
  <c r="C340" i="18" s="1"/>
  <c r="C341" i="18" s="1"/>
  <c r="C358" i="18"/>
  <c r="C359" i="18" s="1"/>
  <c r="Q120" i="18"/>
  <c r="Q121" i="18" s="1"/>
  <c r="Q218" i="18" s="1"/>
  <c r="Q219" i="18" s="1"/>
  <c r="Q296" i="18"/>
  <c r="M94" i="9"/>
  <c r="M65" i="9"/>
  <c r="M66" i="9" s="1"/>
  <c r="M50" i="9"/>
  <c r="M331" i="9"/>
  <c r="M348" i="9" s="1"/>
  <c r="M284" i="9"/>
  <c r="M285" i="9" s="1"/>
  <c r="M212" i="9"/>
  <c r="M215" i="9"/>
  <c r="M216" i="9" s="1"/>
  <c r="Q120" i="19" l="1"/>
  <c r="Q121" i="19" s="1"/>
  <c r="Q218" i="19" s="1"/>
  <c r="Q219" i="19" s="1"/>
  <c r="Q296" i="19"/>
  <c r="M108" i="9"/>
  <c r="F10" i="13"/>
  <c r="F12" i="13" s="1"/>
  <c r="M96" i="9"/>
  <c r="M97" i="9" s="1"/>
  <c r="C10" i="16" s="1"/>
  <c r="C11" i="16" s="1"/>
  <c r="M95" i="9"/>
  <c r="M115" i="9"/>
  <c r="M109" i="9"/>
  <c r="M223" i="9"/>
  <c r="N151" i="9" l="1"/>
  <c r="M116" i="9"/>
  <c r="M124" i="9"/>
  <c r="M293" i="9"/>
  <c r="M256" i="9"/>
  <c r="M267" i="9" s="1"/>
  <c r="M287" i="9" s="1"/>
  <c r="M347" i="9"/>
  <c r="M352" i="9" s="1"/>
  <c r="M326" i="9"/>
  <c r="M333" i="9" s="1"/>
  <c r="F14" i="13" l="1"/>
  <c r="F16" i="13" s="1"/>
  <c r="C20" i="16"/>
  <c r="C25" i="16" s="1"/>
  <c r="M288" i="9"/>
  <c r="M296" i="9" s="1"/>
  <c r="M119" i="9"/>
  <c r="M295" i="9"/>
  <c r="M356" i="9"/>
  <c r="M353" i="9"/>
  <c r="M125" i="9"/>
  <c r="C15" i="16" s="1"/>
  <c r="C16" i="16" s="1"/>
  <c r="N279" i="9"/>
  <c r="N277" i="9"/>
  <c r="N176" i="9"/>
  <c r="N152" i="9"/>
  <c r="N22" i="9"/>
  <c r="C318" i="9" l="1"/>
  <c r="C317" i="9"/>
  <c r="C319" i="9" s="1"/>
  <c r="N172" i="9"/>
  <c r="N332" i="9" s="1"/>
  <c r="N350" i="9" s="1"/>
  <c r="N177" i="9"/>
  <c r="M120" i="9"/>
  <c r="M121" i="9" s="1"/>
  <c r="M218" i="9" s="1"/>
  <c r="M219" i="9" s="1"/>
  <c r="M221" i="9" s="1"/>
  <c r="M298" i="9"/>
  <c r="N37" i="9"/>
  <c r="N161" i="9"/>
  <c r="N23" i="9"/>
  <c r="D16" i="13" l="1"/>
  <c r="N351" i="9"/>
  <c r="N202" i="9"/>
  <c r="N203" i="9" s="1"/>
  <c r="N205" i="9"/>
  <c r="N74" i="9"/>
  <c r="N38" i="9"/>
  <c r="N49" i="9"/>
  <c r="G6" i="13" s="1"/>
  <c r="N272" i="9"/>
  <c r="N261" i="9"/>
  <c r="N257" i="9"/>
  <c r="N328" i="9" s="1"/>
  <c r="N349" i="9" s="1"/>
  <c r="N65" i="9"/>
  <c r="N66" i="9" s="1"/>
  <c r="G8" i="13" l="1"/>
  <c r="G9" i="13"/>
  <c r="M335" i="9"/>
  <c r="M336" i="9" s="1"/>
  <c r="Q335" i="9"/>
  <c r="Q336" i="9" s="1"/>
  <c r="N335" i="9"/>
  <c r="P335" i="9"/>
  <c r="O335" i="9"/>
  <c r="N79" i="9"/>
  <c r="N80" i="9" s="1"/>
  <c r="J17" i="13" s="1"/>
  <c r="N87" i="9"/>
  <c r="N92" i="9" s="1"/>
  <c r="N94" i="9" s="1"/>
  <c r="G10" i="13" s="1"/>
  <c r="N76" i="9"/>
  <c r="N331" i="9"/>
  <c r="N348" i="9" s="1"/>
  <c r="N284" i="9"/>
  <c r="N285" i="9" s="1"/>
  <c r="N50" i="9"/>
  <c r="N212" i="9"/>
  <c r="N215" i="9"/>
  <c r="G12" i="13" l="1"/>
  <c r="G13" i="13"/>
  <c r="N96" i="9"/>
  <c r="N97" i="9" s="1"/>
  <c r="D10" i="16" s="1"/>
  <c r="N95" i="9"/>
  <c r="N108" i="9"/>
  <c r="N223" i="9"/>
  <c r="B318" i="9"/>
  <c r="N216" i="9"/>
  <c r="B317" i="9"/>
  <c r="B319" i="9" s="1"/>
  <c r="N115" i="9" l="1"/>
  <c r="N109" i="9"/>
  <c r="N293" i="9" l="1"/>
  <c r="N347" i="9"/>
  <c r="N352" i="9" s="1"/>
  <c r="N116" i="9"/>
  <c r="N256" i="9"/>
  <c r="N267" i="9" s="1"/>
  <c r="N287" i="9" s="1"/>
  <c r="N124" i="9"/>
  <c r="D20" i="16" s="1"/>
  <c r="D25" i="16" s="1"/>
  <c r="N326" i="9"/>
  <c r="N333" i="9" s="1"/>
  <c r="N336" i="9" s="1"/>
  <c r="O151" i="9"/>
  <c r="G14" i="13" l="1"/>
  <c r="G17" i="13"/>
  <c r="G16" i="13"/>
  <c r="N288" i="9"/>
  <c r="O152" i="9"/>
  <c r="O176" i="9"/>
  <c r="O22" i="9"/>
  <c r="O279" i="9"/>
  <c r="O277" i="9"/>
  <c r="N119" i="9"/>
  <c r="N125" i="9"/>
  <c r="D15" i="16" s="1"/>
  <c r="M127" i="9"/>
  <c r="N353" i="9"/>
  <c r="N356" i="9"/>
  <c r="N295" i="9" l="1"/>
  <c r="N296" i="9"/>
  <c r="N120" i="9" s="1"/>
  <c r="N121" i="9" s="1"/>
  <c r="N218" i="9" s="1"/>
  <c r="N219" i="9" s="1"/>
  <c r="N221" i="9" s="1"/>
  <c r="O172" i="9"/>
  <c r="O332" i="9" s="1"/>
  <c r="O350" i="9" s="1"/>
  <c r="O177" i="9"/>
  <c r="O37" i="9"/>
  <c r="O161" i="9"/>
  <c r="O23" i="9"/>
  <c r="N298" i="9" l="1"/>
  <c r="O272" i="9"/>
  <c r="O74" i="9"/>
  <c r="O38" i="9"/>
  <c r="O257" i="9"/>
  <c r="O328" i="9" s="1"/>
  <c r="O349" i="9" s="1"/>
  <c r="O65" i="9"/>
  <c r="O66" i="9" s="1"/>
  <c r="O49" i="9"/>
  <c r="O261" i="9"/>
  <c r="O202" i="9"/>
  <c r="O203" i="9" s="1"/>
  <c r="O351" i="9"/>
  <c r="O205" i="9"/>
  <c r="H6" i="13" l="1"/>
  <c r="O50" i="9"/>
  <c r="O87" i="9"/>
  <c r="O92" i="9" s="1"/>
  <c r="O94" i="9" s="1"/>
  <c r="O108" i="9" s="1"/>
  <c r="O79" i="9"/>
  <c r="O80" i="9" s="1"/>
  <c r="O76" i="9"/>
  <c r="O212" i="9"/>
  <c r="O215" i="9"/>
  <c r="O331" i="9"/>
  <c r="O348" i="9" s="1"/>
  <c r="O284" i="9"/>
  <c r="O285" i="9" s="1"/>
  <c r="H9" i="13" l="1"/>
  <c r="H8" i="13"/>
  <c r="H10" i="13"/>
  <c r="H13" i="13" s="1"/>
  <c r="O95" i="9"/>
  <c r="O96" i="9"/>
  <c r="O97" i="9" s="1"/>
  <c r="E10" i="16" s="1"/>
  <c r="O223" i="9"/>
  <c r="O216" i="9"/>
  <c r="H12" i="13" l="1"/>
  <c r="O109" i="9"/>
  <c r="O115" i="9"/>
  <c r="O347" i="9" l="1"/>
  <c r="O352" i="9" s="1"/>
  <c r="O116" i="9"/>
  <c r="O124" i="9"/>
  <c r="O293" i="9"/>
  <c r="O256" i="9"/>
  <c r="O267" i="9" s="1"/>
  <c r="O287" i="9" s="1"/>
  <c r="O288" i="9" s="1"/>
  <c r="O326" i="9"/>
  <c r="O333" i="9" s="1"/>
  <c r="O336" i="9" s="1"/>
  <c r="P151" i="9"/>
  <c r="H14" i="13" l="1"/>
  <c r="E20" i="16"/>
  <c r="E25" i="16" s="1"/>
  <c r="H17" i="13"/>
  <c r="H16" i="13"/>
  <c r="P277" i="9"/>
  <c r="P176" i="9"/>
  <c r="P22" i="9"/>
  <c r="P279" i="9"/>
  <c r="P152" i="9"/>
  <c r="O296" i="9"/>
  <c r="O295" i="9"/>
  <c r="O119" i="9"/>
  <c r="O125" i="9"/>
  <c r="E15" i="16" s="1"/>
  <c r="C2" i="11"/>
  <c r="D2" i="11" s="1"/>
  <c r="D5" i="11" s="1"/>
  <c r="H5" i="11" s="1"/>
  <c r="N127" i="9"/>
  <c r="D18" i="14" s="1"/>
  <c r="D27" i="14" s="1"/>
  <c r="O353" i="9"/>
  <c r="O356" i="9"/>
  <c r="O120" i="9" l="1"/>
  <c r="O121" i="9" s="1"/>
  <c r="O218" i="9" s="1"/>
  <c r="O219" i="9" s="1"/>
  <c r="O298" i="9"/>
  <c r="P37" i="9"/>
  <c r="P161" i="9"/>
  <c r="P23" i="9"/>
  <c r="P177" i="9"/>
  <c r="P172" i="9"/>
  <c r="P332" i="9" s="1"/>
  <c r="P350" i="9" s="1"/>
  <c r="D19" i="14"/>
  <c r="C9" i="11" l="1"/>
  <c r="D9" i="11" s="1"/>
  <c r="D12" i="11" s="1"/>
  <c r="H12" i="11" s="1"/>
  <c r="O221" i="9"/>
  <c r="D28" i="14"/>
  <c r="D8" i="13"/>
  <c r="D9" i="13" s="1"/>
  <c r="P351" i="9"/>
  <c r="P205" i="9"/>
  <c r="P202" i="9"/>
  <c r="P203" i="9" s="1"/>
  <c r="P257" i="9"/>
  <c r="P328" i="9" s="1"/>
  <c r="P349" i="9" s="1"/>
  <c r="P65" i="9"/>
  <c r="P66" i="9" s="1"/>
  <c r="P38" i="9"/>
  <c r="P49" i="9"/>
  <c r="P261" i="9"/>
  <c r="P74" i="9"/>
  <c r="P272" i="9"/>
  <c r="P87" i="9" l="1"/>
  <c r="P92" i="9" s="1"/>
  <c r="P94" i="9" s="1"/>
  <c r="P79" i="9"/>
  <c r="P80" i="9" s="1"/>
  <c r="P50" i="9"/>
  <c r="P331" i="9"/>
  <c r="P348" i="9" s="1"/>
  <c r="P284" i="9"/>
  <c r="P285" i="9" s="1"/>
  <c r="P212" i="9"/>
  <c r="P215" i="9"/>
  <c r="P76" i="9"/>
  <c r="P95" i="9" l="1"/>
  <c r="P108" i="9"/>
  <c r="P96" i="9"/>
  <c r="P97" i="9" s="1"/>
  <c r="P216" i="9"/>
  <c r="P223" i="9"/>
  <c r="P109" i="9" l="1"/>
  <c r="P115" i="9"/>
  <c r="P293" i="9" s="1"/>
  <c r="P347" i="9" l="1"/>
  <c r="P352" i="9" s="1"/>
  <c r="P256" i="9"/>
  <c r="P267" i="9" s="1"/>
  <c r="P287" i="9" s="1"/>
  <c r="P288" i="9" s="1"/>
  <c r="P116" i="9"/>
  <c r="P326" i="9"/>
  <c r="P333" i="9" s="1"/>
  <c r="P336" i="9" s="1"/>
  <c r="P124" i="9"/>
  <c r="Q151" i="9"/>
  <c r="Q277" i="9" l="1"/>
  <c r="Q279" i="9"/>
  <c r="Q22" i="9"/>
  <c r="Q176" i="9"/>
  <c r="Q152" i="9"/>
  <c r="P119" i="9"/>
  <c r="P125" i="9"/>
  <c r="P296" i="9"/>
  <c r="P295" i="9"/>
  <c r="P353" i="9"/>
  <c r="P356" i="9"/>
  <c r="Q37" i="9" l="1"/>
  <c r="Q23" i="9"/>
  <c r="Q161" i="9"/>
  <c r="P120" i="9"/>
  <c r="P121" i="9" s="1"/>
  <c r="P218" i="9" s="1"/>
  <c r="P219" i="9" s="1"/>
  <c r="P221" i="9" s="1"/>
  <c r="P298" i="9"/>
  <c r="Q172" i="9"/>
  <c r="Q332" i="9" s="1"/>
  <c r="Q350" i="9" s="1"/>
  <c r="Q177" i="9"/>
  <c r="Q351" i="9" l="1"/>
  <c r="Q205" i="9"/>
  <c r="Q202" i="9"/>
  <c r="Q203" i="9" s="1"/>
  <c r="Q257" i="9"/>
  <c r="Q328" i="9" s="1"/>
  <c r="Q349" i="9" s="1"/>
  <c r="Q38" i="9"/>
  <c r="Q49" i="9"/>
  <c r="Q261" i="9"/>
  <c r="Q74" i="9"/>
  <c r="Q65" i="9"/>
  <c r="Q66" i="9" s="1"/>
  <c r="Q272" i="9"/>
  <c r="Q331" i="9" l="1"/>
  <c r="Q284" i="9"/>
  <c r="Q348" i="9"/>
  <c r="Q76" i="9"/>
  <c r="Q79" i="9"/>
  <c r="Q80" i="9" s="1"/>
  <c r="Q87" i="9"/>
  <c r="Q92" i="9" s="1"/>
  <c r="Q94" i="9" s="1"/>
  <c r="Q50" i="9"/>
  <c r="Q212" i="9"/>
  <c r="Q215" i="9"/>
  <c r="Q285" i="9" l="1"/>
  <c r="Q108" i="9"/>
  <c r="Q96" i="9"/>
  <c r="Q97" i="9" s="1"/>
  <c r="Q95" i="9"/>
  <c r="Q223" i="9"/>
  <c r="Q216" i="9"/>
  <c r="Q115" i="9" l="1"/>
  <c r="Q293" i="9" s="1"/>
  <c r="Q109" i="9"/>
  <c r="Q347" i="9" l="1"/>
  <c r="Q352" i="9" s="1"/>
  <c r="Q124" i="9"/>
  <c r="Q116" i="9"/>
  <c r="Q326" i="9"/>
  <c r="Q333" i="9" s="1"/>
  <c r="Q338" i="9" s="1"/>
  <c r="Q256" i="9"/>
  <c r="Q267" i="9" s="1"/>
  <c r="Q287" i="9" s="1"/>
  <c r="Q288" i="9" s="1"/>
  <c r="Q296" i="9" s="1"/>
  <c r="C337" i="9" l="1"/>
  <c r="Q295" i="9"/>
  <c r="Q125" i="9"/>
  <c r="Q119" i="9"/>
  <c r="Q120" i="9" s="1"/>
  <c r="C339" i="9"/>
  <c r="Q356" i="9"/>
  <c r="C357" i="9" s="1"/>
  <c r="Q353" i="9"/>
  <c r="Q358" i="9"/>
  <c r="C359" i="9" s="1"/>
  <c r="C360" i="9" l="1"/>
  <c r="C361" i="9" s="1"/>
  <c r="C340" i="9"/>
  <c r="C342" i="9" s="1"/>
  <c r="C343" i="9" s="1"/>
  <c r="Q121" i="9"/>
  <c r="Q218" i="9" s="1"/>
  <c r="Q219" i="9" s="1"/>
  <c r="Q221" i="9" s="1"/>
  <c r="Q29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Kempton, Sam</author>
  </authors>
  <commentList>
    <comment ref="A1" authorId="0" shapeId="0" xr:uid="{4AF8E063-8EA9-4455-BCEE-E455AEBC1202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Timestamp="1701155777"&gt;&lt;FQL&gt;&lt;Q&gt;UNM^FE_TIMESERIES(FCF,MEAN,0FY,0FY,FY,'BKRACTMED=1,WIN=0,CURRENCY=USD,UNITS=AUTO,DATE=NOW')&lt;/Q&gt;&lt;R&gt;1&lt;/R&gt;&lt;C&gt;1&lt;/C&gt;&lt;D xsi:type="xsd:double"&gt;178.6444&lt;/D&gt;&lt;/FQL&gt;&lt;FQL&gt;&lt;Q&gt;UNM^FE_TIMESERIES(FCF,MEAN,-1FY,-1FY,FY,'BKRACTMED=1,WIN=0,CURRENCY=USD,UNITS=AUTO,DATE=NOW')&lt;/Q&gt;&lt;R&gt;1&lt;/R&gt;&lt;C&gt;1&lt;/C&gt;&lt;D xsi:type="xsd:double"&gt;169.1102&lt;/D&gt;&lt;/FQL&gt;&lt;FQL&gt;&lt;Q&gt;UNM^FE_TIMESERIES(FCF,MEAN,-2FY,-2FY,FY,'BKRACTMED=1,WIN=0,CURRENCY=USD,UNITS=AUTO,DATE=NOW')&lt;/Q&gt;&lt;R&gt;0&lt;/R&gt;&lt;C&gt;0&lt;/C&gt;&lt;/FQL&gt;&lt;FQL&gt;&lt;Q&gt;UNM^FE_TIMESERIES(FCF,MEAN,-3FY,-3FY,FY,'BKRACTMED=1,WIN=0,CURRENCY=USD,UNITS=AUTO,DATE=NOW')&lt;/Q&gt;&lt;R&gt;0&lt;/R&gt;&lt;C&gt;0&lt;/C&gt;&lt;/FQL&gt;&lt;FQL&gt;&lt;Q&gt;UNM^FE_TIMESERIES(FCF,MEAN,-4FY,-4FY,FY,'BKRACTMED=1,WIN=0,CURRENCY=USD,UNITS=AUTO,DATE=NOW')&lt;/Q&gt;&lt;R&gt;0&lt;/R&gt;&lt;C&gt;0&lt;/C&gt;&lt;/FQL&gt;&lt;FQL&gt;&lt;Q&gt;UNM^FE_TIMESERIES(FCF,MEAN,-5FY,-5FY,FY,'BKRACTMED=1,WIN=0,CURRENCY=USD,UNITS=AUTO,DATE=NOW')&lt;/Q&gt;&lt;R&gt;0&lt;/R&gt;&lt;C&gt;0&lt;/C&gt;&lt;/FQL&gt;&lt;FQL&gt;&lt;Q&gt;UNM^FE_TIMESERIES(FCF,MEAN,-6FY,-6FY,FY,'BKRACTMED=1,WIN=0,CURRENCY=USD,UNITS=AUTO,DATE=NOW')&lt;/Q&gt;&lt;R&gt;0&lt;/R&gt;&lt;C&gt;0&lt;/C&gt;&lt;/FQL&gt;&lt;FQL&gt;&lt;Q&gt;UNM^FE_TIMESERIES(FCF,MEAN,-7FY,-7FY,FY,'BKRACTMED=1,WIN=0,CURRENCY=USD,UNITS=AUTO,DATE=NOW')&lt;/Q&gt;&lt;R&gt;0&lt;/R&gt;&lt;C&gt;0&lt;/C&gt;&lt;/FQL&gt;&lt;FQL&gt;&lt;Q&gt;UNM^FE_TIMESERIES(FCF,MEAN,-8FY,-8FY,FY,'BKRACTMED=1,WIN=0,CURRENCY=USD,UNITS=AUTO,DATE=NOW')&lt;/Q&gt;&lt;R&gt;0&lt;/R&gt;&lt;C&gt;0&lt;/C&gt;&lt;/FQL&gt;&lt;FQL&gt;&lt;Q&gt;UNM^FE_TIMESERIES(FCF,MEAN,-9FY,-9FY,FY,'BKRACTMED=1,WIN=0,CURRENCY=USD,UNITS=AUTO,DATE=NOW')&lt;/Q&gt;&lt;R&gt;0&lt;/R&gt;&lt;C&gt;0&lt;/C&gt;&lt;/FQL&gt;&lt;FQL&gt;&lt;Q&gt;UNM^FE_TIMESERIES(FCF,MEAN,-10FY,-10FY,FY,'BKRACTMED=1,WIN=0,CURRENCY=USD,UNITS=AUTO,DATE=NOW')&lt;/Q&gt;&lt;R&gt;0&lt;/R&gt;&lt;C&gt;0&lt;/C&gt;&lt;/FQL&gt;&lt;FQL&gt;&lt;Q&gt;UNM^FE_TIMESERIES(CFF,MEAN,0FY,0FY,FY,'BKRACTMED=1,WIN=0,CURRENCY=USD,UNITS=AUTO,DATE=NOW')&lt;/Q&gt;&lt;R&gt;0&lt;/R&gt;&lt;C&gt;0&lt;/C&gt;&lt;/FQL&gt;&lt;FQL&gt;&lt;Q&gt;UNM^FE_TIMESERIES(CFF,MEAN,-1FY,-1FY,FY,'BKRACTMED=1,WIN=0,CURRENCY=USD,UNITS=AUTO,DATE=NOW')&lt;/Q&gt;&lt;R&gt;0&lt;/R&gt;&lt;C&gt;0&lt;/C&gt;&lt;/FQL&gt;&lt;FQL&gt;&lt;Q&gt;UNM^FE_TIMESERIES(CFF,MEAN,-2FY,-2FY,FY,'BKRACTMED=1,WIN=0,CURRENCY=USD,UNITS=AUTO,DATE=NOW')&lt;/Q&gt;&lt;R&gt;0&lt;/R&gt;&lt;C&gt;0&lt;/C&gt;&lt;/FQL&gt;&lt;FQL&gt;&lt;Q&gt;UNM^FE_TIMESERIES(CFF,MEAN,-3FY,-3FY,FY,'BKRACTMED=1,WIN=0,CURRENCY=USD,UNITS=AUTO,DATE=NOW')&lt;/Q&gt;&lt;R&gt;0&lt;/R&gt;&lt;C&gt;0&lt;/C&gt;&lt;/FQL&gt;&lt;FQL&gt;&lt;Q&gt;UNM^FE_TIMESERIES(CFF,MEAN,-4FY,-4FY,FY,'BKRACTMED=1,WIN=0,CURRENCY=USD,UNITS=AUTO,DATE=NOW')&lt;/Q&gt;&lt;R&gt;0&lt;/R&gt;&lt;C&gt;0&lt;/C&gt;&lt;/FQL&gt;&lt;FQL&gt;&lt;Q&gt;UNM^FE_TIMESERIES(CFF,MEAN,-5FY,-5FY,FY,'BKRACTMED=1,WIN=0,CURRENCY=USD,UNITS=AUTO,DATE=NOW')&lt;/Q&gt;&lt;R&gt;0&lt;/R&gt;&lt;C&gt;0&lt;/C&gt;&lt;/FQL&gt;&lt;FQL&gt;&lt;Q&gt;UNM^FE_TIMESERIES(CFF,MEAN,-6FY,-6FY,FY,'BKRACTMED=1,WIN=0,CURRENCY=USD,UNITS=AUTO,DATE=NOW')&lt;/Q&gt;&lt;R&gt;0&lt;/R&gt;&lt;C&gt;0&lt;/C&gt;&lt;/FQL&gt;&lt;FQL&gt;&lt;Q&gt;UNM^FE_TIMESERIES(CFF,MEAN,-7FY,-7FY,FY,'BKRACTMED=1,WIN=0,CURRENCY=USD,UNITS=AUTO,DATE=NOW')&lt;/Q&gt;&lt;R&gt;1&lt;/R&gt;&lt;C&gt;1&lt;/C&gt;&lt;D xsi:type="xsd:double"&gt;-704.5&lt;/D&gt;&lt;/FQL&gt;&lt;FQL&gt;&lt;Q&gt;UNM^FE_TIMESERIES(CFF,MEAN,-8FY,-8FY,FY,'BKRACTMED=1,WIN=0,CURRENCY=USD,UNITS=AUTO,DATE=NOW')&lt;/Q&gt;&lt;R&gt;0&lt;/R&gt;&lt;C&gt;0&lt;/C&gt;&lt;/FQL&gt;&lt;FQL&gt;&lt;Q&gt;UNM^FE_TIMESERIES(CFF,MEAN,-9FY,-9FY,FY,'BKRACTMED=1,WIN=0,CURRENCY=USD,UNITS=AUTO,DATE=NOW')&lt;/Q&gt;&lt;R&gt;0&lt;/R&gt;&lt;C&gt;0&lt;/C&gt;&lt;/FQL&gt;&lt;FQL&gt;&lt;Q&gt;UNM^FE_TIMESERIES(CFF,MEAN,-10FY,-10FY,FY,'BKRACTMED=1,WIN=0,CURRENCY=USD,UNITS=AUTO,DATE=NOW')&lt;/Q&gt;&lt;R&gt;0&lt;/R&gt;&lt;C&gt;0&lt;/C&gt;&lt;/FQL&gt;&lt;FQL&gt;&lt;Q&gt;UNM^FE_TIMESERIES(CFI,MEAN,0FY,0FY,FY,'BKRACTMED=1,WIN=0,CURRENCY=USD,UNITS=AUTO,DATE=NOW')&lt;/Q&gt;&lt;R&gt;0&lt;/R&gt;&lt;C&gt;0&lt;/C&gt;&lt;/FQL&gt;&lt;FQL&gt;&lt;Q&gt;UNM^FE_TIMESERIES(CFI,MEAN,-1FY,-1FY,FY,'BKRACTMED=1,WIN=0,CURRENCY=USD,UNITS=AUTO,DATE=NOW')&lt;/Q&gt;&lt;R&gt;0&lt;/R&gt;&lt;C&gt;0&lt;/C&gt;&lt;/FQL&gt;&lt;FQL&gt;&lt;Q&gt;UNM^FE_TIMESERIES(CFI,MEAN,-2FY,-2FY,FY,'BKRACTMED=1,WIN=0,CURRENCY=USD,UNITS=AUTO,DATE=NOW')&lt;/Q&gt;&lt;R&gt;0&lt;/R&gt;&lt;C&gt;0&lt;/C&gt;&lt;/FQL&gt;&lt;FQL&gt;&lt;Q&gt;UNM^FE_TIMESERIES(CFI,MEAN,-3FY,-3FY,FY,'BKRACTMED=1,WIN=0,CURRENCY=USD,UNITS=AUTO,DATE=NOW')&lt;/Q&gt;&lt;R&gt;0&lt;/R&gt;&lt;C&gt;0&lt;/C&gt;&lt;/FQL&gt;&lt;FQL&gt;&lt;Q&gt;UNM^FE_TIMESERIES(CFI,MEAN,-4FY,-4FY,FY,'BKRACTMED=1,WIN=0,CURRENCY=USD,UNITS=AUTO,DATE=NOW')&lt;/Q&gt;&lt;R&gt;0&lt;/R&gt;&lt;C&gt;0&lt;/C&gt;&lt;/FQL&gt;&lt;FQL&gt;&lt;Q&gt;UNM^FE_TIMESERIES(CFI,MEAN,-5FY,-5FY,FY,'BKRACTMED=1,WIN=0,CURRENCY=USD,UNITS=AUTO,DATE=NOW')&lt;/Q&gt;&lt;R&gt;0&lt;/R&gt;&lt;C&gt;0&lt;/C&gt;&lt;/FQL&gt;&lt;FQL&gt;&lt;Q&gt;UNM^FE_TIMESERIES(CFI,MEAN,-6FY,-6FY,FY,'BKRACTMED=1,WIN=0,CURRENCY=USD,UNITS=AUTO,DATE=NOW')&lt;/Q&gt;&lt;R&gt;0&lt;/R&gt;&lt;C&gt;0&lt;/C&gt;&lt;/FQL&gt;&lt;FQL&gt;&lt;Q&gt;UNM^FE_TIMESERIES(CFI,MEAN,-7FY,-7FY,FY,'BKRACTMED=1,WIN=0,CURRENCY=USD,UNITS=AUTO,DATE=NOW')&lt;/Q&gt;&lt;R&gt;0&lt;/R&gt;&lt;C&gt;0&lt;/C&gt;&lt;/FQL&gt;&lt;FQL&gt;&lt;Q&gt;UNM^FE_TIMESERIES(CFI,MEAN,-8FY,-8FY,FY,'BKRACTMED=1,WIN=0,CURRENCY=USD,UNITS=AUTO,DATE=NOW')&lt;/Q&gt;&lt;R&gt;0&lt;/R&gt;&lt;C&gt;0&lt;/C&gt;&lt;/FQL&gt;&lt;FQL&gt;&lt;Q&gt;UNM^FE_TIMESERIES(CFI,MEAN,-9FY,-9FY,FY,'BKRACTMED=1,WIN=0,CURRENCY=USD,UNITS=AUTO,DATE=NOW')&lt;/Q&gt;&lt;R&gt;0&lt;/R&gt;&lt;C&gt;0&lt;/C&gt;&lt;/FQL&gt;&lt;FQL&gt;&lt;Q&gt;UNM^FE_TIMESERIES(CFI,MEAN,-10FY,-10FY,FY,'BKRACTMED=1,WIN=0,CURRENCY=USD,UNITS=AUTO,DATE=NOW')&lt;/Q&gt;&lt;R&gt;0&lt;/R&gt;&lt;C&gt;0&lt;/C&gt;&lt;/FQL&gt;&lt;FQL&gt;&lt;Q&gt;UNM^FE_TIMESERIES(CAPEX,MEAN,0FY,0FY,FY,'BKRACTMED=1,WIN=0,CURRENCY=USD,UNITS=AUTO,DATE=NOW')&lt;/Q&gt;&lt;R&gt;0&lt;/R&gt;&lt;C&gt;0&lt;/C&gt;&lt;/FQL&gt;&lt;FQL&gt;&lt;Q&gt;UNM^FE_TIMESERIES(CAPEX,MEAN,-1FY,-1FY,FY,'BKRACTMED=1,WIN=0,CURRENCY=USD,UNITS=AUTO,DATE=NOW')&lt;/Q&gt;&lt;R&gt;0&lt;/R&gt;&lt;C&gt;0&lt;/C&gt;&lt;/FQL&gt;&lt;FQL&gt;&lt;Q&gt;UNM^FE_TIMESERIES(CAPEX,MEAN,-2FY,-2FY,FY,'BKRACTMED=1,WIN=0,CURRENCY=USD,UNITS=AUTO,DATE=NOW')&lt;/Q&gt;&lt;R&gt;0&lt;/R&gt;&lt;C&gt;0&lt;/C&gt;&lt;/FQL&gt;&lt;FQL&gt;&lt;Q&gt;UNM^FE_TIMESERIES(CAPEX,MEAN,-3FY,-3FY,FY,'BKRACTMED=1,WIN=0,CURRENCY=USD,UNITS=AUTO,DATE=NOW')&lt;/Q&gt;&lt;R&gt;0&lt;/R&gt;&lt;C&gt;0&lt;/C&gt;&lt;/FQL&gt;&lt;FQL&gt;&lt;Q&gt;UNM^FE_TIMESERIES(CAPEX,MEAN,-4FY,-4FY,FY,'BKRACTMED=1,WIN=0,CURRENCY=USD,UNITS=AUTO,DATE=NOW')&lt;/Q&gt;&lt;R&gt;0&lt;/R&gt;&lt;C&gt;0&lt;/C&gt;&lt;/FQL&gt;&lt;FQL&gt;&lt;Q&gt;UNM^FE_TIMESERIES(CAPEX,MEAN,-5FY,-5FY,FY,'BKRACTMED=1,WIN=0,CURRENCY=USD,UNITS=AUTO,DATE=NOW')&lt;/Q&gt;&lt;R&gt;0&lt;/R&gt;&lt;C&gt;0&lt;/C&gt;&lt;/FQL&gt;&lt;FQL&gt;&lt;Q&gt;UNM^FE_TIMESERIES(CAPEX,MEAN,-6FY,-6FY,FY,'BKRACTMED=1,WIN=0,CURRENCY=USD,UNITS=AUTO,DATE=NOW')&lt;/Q&gt;&lt;R&gt;0&lt;/R&gt;&lt;C&gt;0&lt;/C&gt;&lt;/FQL&gt;&lt;FQL&gt;&lt;Q&gt;UNM^FE_TIMESERIES(CAPEX,MEAN,-7FY,-7FY,FY,'BKRACTMED=1,WIN=0,CURRENCY=USD,UNITS=AUTO,DATE=NOW')&lt;/Q&gt;&lt;R&gt;0&lt;/R&gt;&lt;C&gt;0&lt;/C&gt;&lt;/FQL&gt;&lt;FQL&gt;&lt;Q&gt;UNM^FE_TIMESERIES(CAPEX,MEAN,-8FY,-8FY,FY,'BKRACTMED=1,WIN=0,CURRENCY=USD,UNITS=AUTO,DATE=NOW')&lt;/Q&gt;&lt;R&gt;0&lt;/R&gt;&lt;C&gt;0&lt;/C&gt;&lt;/FQL&gt;&lt;FQL&gt;&lt;Q&gt;UNM^FE_TIMESERIES(CAPEX,MEAN,-9FY,-9FY,FY,'BKRACTMED=1,WIN=0,CURRENCY=USD,UNITS=AUTO,DATE=NOW')&lt;/Q&gt;&lt;R&gt;0&lt;/R&gt;&lt;C&gt;0&lt;/C&gt;&lt;/FQL&gt;&lt;FQL&gt;&lt;Q&gt;UNM^FE_TIMESERIES(CAPEX,MEAN,-10FY,-10FY,FY,'BKRACTMED=1,WIN=0,CURRENCY=USD,UNITS=AUTO,DATE=NOW')&lt;/Q&gt;&lt;R&gt;0&lt;/R&gt;&lt;C&gt;0&lt;/C&gt;&lt;/FQL&gt;&lt;FQL&gt;&lt;Q&gt;UNM^FE_TIMESERIES(CFO,MEAN,0FY,0FY,FY,'BKRACTMED=1,WIN=0,CURRENCY=USD,UNITS=AUTO,DATE=NOW')&lt;/Q&gt;&lt;R&gt;1&lt;/R&gt;&lt;C&gt;1&lt;/C&gt;&lt;D xsi:type="xsd:double"&gt;2146.75&lt;/D&gt;&lt;/FQL&gt;&lt;FQL&gt;&lt;Q&gt;UNM^FE_TIMESERIES(CFO,MEAN,-1FY,-1FY,FY,'BKRACTMED=1,WIN=0,CURRENCY=USD,UNITS=AUTO,DATE=NOW')&lt;/Q&gt;&lt;R&gt;1&lt;/R&gt;&lt;C&gt;1&lt;/C&gt;&lt;D xsi:type="xsd:double"&gt;1702.5&lt;/D&gt;&lt;/FQL&gt;&lt;FQL&gt;&lt;Q&gt;UNM^FE_TIMESERIES(CFO,MEAN,-2FY,-2FY,FY,'BKRACTMED=1,WIN=0,CURRENCY=USD,UNITS=AUTO,DATE=NOW')&lt;/Q&gt;&lt;R&gt;0&lt;/R&gt;&lt;C&gt;0&lt;/C&gt;&lt;/FQL&gt;&lt;FQL&gt;&lt;Q&gt;UNM^FE_TIMESERIES(CFO,MEAN,-3FY,-3FY,FY,'BKRACTMED=1,WIN=0,CURRENCY=USD,UNITS=AUTO,DATE=NOW')&lt;/Q&gt;&lt;R&gt;0&lt;/R&gt;&lt;C&gt;0&lt;/C&gt;&lt;/FQL&gt;&lt;FQL&gt;&lt;Q&gt;UNM^FE_TIMESERIES(CFO,MEAN,-4FY,-4FY,FY,'BKRACTMED=1,WIN=0,CURRENCY=USD,UNITS=AUTO,DATE=NOW')&lt;/Q&gt;&lt;R&gt;0&lt;/R&gt;&lt;C&gt;0&lt;/C&gt;&lt;/FQL&gt;&lt;FQL&gt;&lt;Q&gt;UNM^FE_TIMESERIES(CFO,MEAN,-5FY,-5FY,FY,'BKRACTMED=1,WIN=0,CURRENCY=USD,UNITS=AUTO,DATE=NOW')&lt;/Q&gt;&lt;R&gt;0&lt;/R&gt;&lt;C&gt;0&lt;/C&gt;&lt;/FQL&gt;&lt;FQL&gt;&lt;Q&gt;UNM^FE_TIMESERIES(CFO,MEAN,-6FY,-6FY,FY,'BKRACTMED=1,WIN=0,CURRENCY=USD,UNITS=AUTO,DATE=NOW')&lt;/Q&gt;&lt;R&gt;0&lt;/R&gt;&lt;C&gt;0&lt;/C&gt;&lt;/FQL&gt;&lt;FQL&gt;&lt;Q&gt;UNM^FE_TIMESERIES(CFO,MEAN,-7FY,-7FY,FY,'BKRACTMED=1,WIN=0,CURRENCY=USD,UNITS=AUTO,DATE=NOW')&lt;/Q&gt;&lt;R&gt;1&lt;/R&gt;&lt;C&gt;1&lt;/C&gt;&lt;D xsi:type="xsd:double"&gt;1456.9&lt;/D&gt;&lt;/FQL&gt;&lt;FQL&gt;&lt;Q&gt;UNM^FE_TIMESERIES(CFO,MEAN,-8FY,-8FY,FY,'BKRACTMED=1,WIN=0,CURRENCY=USD,UNITS=AUTO,DATE=NOW')&lt;/Q&gt;&lt;R&gt;0&lt;/R&gt;&lt;C&gt;0&lt;/C&gt;&lt;/FQL&gt;&lt;FQL&gt;&lt;Q&gt;UNM^FE_TIMESERIES(CFO,MEAN,-9FY,-9FY,FY,'BKRACTMED=1,WIN=0,CURRENCY=USD,UNITS=AUTO,DATE=NOW')&lt;/Q&gt;&lt;R&gt;0&lt;/R&gt;&lt;C&gt;0&lt;/C&gt;&lt;/FQL&gt;&lt;FQL&gt;&lt;Q&gt;UNM^FE_TIMESERIES(CFO,MEAN,-10FY,-10FY,FY,'BKRACTMED=1,WIN=0,CURRENCY=USD,UNITS=AUTO,DATE=NOW')&lt;/Q&gt;&lt;R&gt;0&lt;/R&gt;&lt;C&gt;0&lt;/C&gt;&lt;/FQL&gt;&lt;FQL&gt;&lt;Q&gt;UNM^FE_TIMESERIES(DEPR_AMORT,MEAN,0FY,0FY,FY,'BKRACTMED=1,WIN=0,CURRENCY=USD,UNITS=AUTO,DATE=NOW')&lt;/Q&gt;&lt;R&gt;0&lt;/R&gt;&lt;C&gt;0&lt;/C&gt;&lt;/FQL&gt;&lt;FQL&gt;&lt;Q&gt;UNM^FE_TIMESERIES(DEPR_AMORT,MEAN,-1FY,-1FY,FY,'BKRACTMED=1,WIN=0,CURRENCY=USD,UNITS=AUTO,DATE=NOW')&lt;/Q&gt;&lt;R&gt;0&lt;/R&gt;&lt;C&gt;0&lt;/C&gt;&lt;/FQL&gt;&lt;FQL&gt;&lt;Q&gt;UNM^FE_TIMESERIES(DEPR_AMORT,MEAN,-2FY,-2FY,FY,'BKRACTMED=1,WIN=0,CURRENCY=USD,UNITS=AUTO,DATE=NOW')&lt;/Q&gt;&lt;R&gt;0&lt;/R&gt;&lt;C&gt;0&lt;/C&gt;&lt;/FQL&gt;&lt;FQL&gt;&lt;Q&gt;UNM^FE_TIMESERIES(DEPR_AMORT,MEAN,-3FY,-3FY,FY,'BKRACTMED=1,WIN=0,CURRENCY=USD,UNITS=AUTO,DATE=NOW')&lt;/Q&gt;&lt;R&gt;0&lt;/R&gt;&lt;C&gt;0&lt;/C&gt;&lt;/FQL&gt;&lt;FQL&gt;&lt;Q&gt;UNM^FE_TIMESERIES(DEPR_AMORT,MEAN,-4FY,-4FY,FY,'BKRACTMED=1,WIN=0,CURRENCY=USD,UNITS=AUTO,DATE=NOW')&lt;/Q&gt;&lt;R&gt;0&lt;/R&gt;&lt;C&gt;0&lt;/C&gt;&lt;/FQL&gt;&lt;FQL&gt;&lt;Q&gt;UNM^FE_TIMESERIES(DEPR_AMORT,MEAN,-5FY,-5FY,FY,'BKRACTMED=1,WIN=0,CURRENCY=USD,UNITS=AUTO,DATE=NOW')&lt;/Q&gt;&lt;R&gt;0&lt;/R&gt;&lt;C&gt;0&lt;/C&gt;&lt;/FQL&gt;&lt;FQL&gt;&lt;Q&gt;UNM^FE_TIMESERIES(DEPR_AMORT,MEAN,-6FY,-6FY,FY,'BKRACTMED=1,WIN=0,CURRENCY=USD,UNITS=AUTO,DATE=NOW')&lt;/Q&gt;&lt;R&gt;0&lt;/R&gt;&lt;C&gt;0&lt;/C&gt;&lt;/FQL&gt;&lt;FQL&gt;&lt;Q&gt;UNM^FE_TIMESERIES(DEPR_AMORT,MEAN,-7FY,-7FY,FY,'BKRACTMED=1,WIN=0,CURRENCY=USD,UNITS=AUTO,DATE=NOW')&lt;/Q&gt;&lt;R&gt;0&lt;/R&gt;&lt;C&gt;0&lt;/C&gt;&lt;/FQL&gt;&lt;FQL&gt;&lt;Q&gt;UNM^FE_TIMESERIES(DEPR_AMORT,MEAN,-8FY,-8FY,FY,'BKRACTMED=1,WIN=0,CURRENCY=USD,UNITS=AUTO,DATE=NOW')&lt;/Q&gt;&lt;R&gt;0&lt;/R&gt;&lt;C&gt;0&lt;/C&gt;&lt;/FQL&gt;&lt;FQL&gt;&lt;Q&gt;UNM^FE_TIMESERIES(DEPR_AMORT,MEAN,-9FY,-9FY,FY,'BKRACTMED=1,WIN=0,CURRENCY=USD,UNITS=AUTO,DATE=NOW')&lt;/Q&gt;&lt;R&gt;0&lt;/R&gt;&lt;C&gt;0&lt;/C&gt;&lt;/FQL&gt;&lt;FQL&gt;&lt;Q&gt;UNM^FE_TIMESERIES(DEPR_AMORT,MEAN,-10FY,-10FY,FY,'BKRACTMED=1,WIN=0,CURRENCY=USD,UNITS=AUTO,DATE=NOW')&lt;/Q&gt;&lt;R&gt;0&lt;/R&gt;&lt;C&gt;0&lt;/C&gt;&lt;/FQL&gt;&lt;FQL&gt;&lt;Q&gt;UNM^FE_TIMESERIES(NETPROFIT,MEAN,0FY,0FY,FY,'BKRACTMED=1,WIN=0,CURRENCY=USD,UNITS=AUTO,DATE=NOW')&lt;/Q&gt;&lt;R&gt;1&lt;/R&gt;&lt;C&gt;1&lt;/C&gt;&lt;D xsi:type="xsd:double"&gt;1254.3&lt;/D&gt;&lt;/FQL&gt;&lt;FQL&gt;&lt;Q&gt;UNM^FE_TIMESERIES(NETPROFIT,MEAN,-1FY,-1FY,FY,'BKRACTMED=1,WIN=0,CURRENCY=USD,UNITS=AUTO,DATE=NOW')&lt;/Q&gt;&lt;R&gt;1&lt;/R&gt;&lt;C&gt;1&lt;/C&gt;&lt;D xsi:type="xsd:double"&gt;890.7&lt;/D&gt;&lt;/FQL&gt;&lt;FQL&gt;&lt;Q&gt;UNM^FE_TIMESERIES(NETPROFIT,MEAN,-2FY,-2FY,FY,'BKRACTMED=1,WIN=0,CURRENCY=USD,UNITS=AUTO,DATE=NOW')&lt;/Q&gt;&lt;R&gt;1&lt;/R&gt;&lt;C&gt;1&lt;/C&gt;&lt;D xsi:type="xsd:double"&gt;1005.4&lt;/D&gt;&lt;/FQL&gt;&lt;FQL&gt;&lt;Q&gt;UNM^FE_TIMESERIES(NETPROFIT,MEAN,-3FY,-3FY,FY,'BKRACTMED=1,WIN=0,CURRENCY=USD,UNITS=AUTO,DATE=NOW')&lt;/Q&gt;&lt;R&gt;1&lt;/R&gt;&lt;C&gt;1&lt;/C&gt;&lt;D xsi:type="xsd:double"&gt;1100.3&lt;/D&gt;&lt;/FQL&gt;&lt;FQL&gt;&lt;Q&gt;UNM^FE_TIMESERIES(NETPROFIT,MEAN,-4FY,-4FY,FY,'BKRACTMED=1,WIN=0,CURRENCY=USD,UNITS=AUTO,DATE=NOW')&lt;/Q&gt;&lt;R&gt;1&lt;/R&gt;&lt;C&gt;1&lt;/C&gt;&lt;D xsi:type="xsd:double"&gt;523.4&lt;/D&gt;&lt;/FQL&gt;&lt;FQL&gt;&lt;Q&gt;UNM^FE_TIMESERIES(NETPROFIT,MEAN,-5FY,-5FY,FY,'BKRACTMED=1,WIN=0,CURRENCY=USD,UNITS=AUTO,DATE=NOW')&lt;/Q&gt;&lt;R&gt;1&lt;/R&gt;&lt;C&gt;1&lt;/C&gt;&lt;D xsi:type="xsd:double"&gt;994.2&lt;/D&gt;&lt;/FQL&gt;&lt;FQL&gt;&lt;Q&gt;UNM^FE_TIMESERIES(NETPROFIT,MEAN,-6FY,-6FY,FY,'BKRACTMED=1,WIN=0,CURRENCY=USD,UNITS=AUTO,DATE=NOW')&lt;/Q&gt;&lt;R&gt;1&lt;/R&gt;&lt;C&gt;1&lt;/C&gt;&lt;D xsi:type="xsd:double"&gt;931.4&lt;/D&gt;&lt;/FQL&gt;&lt;FQL&gt;&lt;Q&gt;UNM^FE_TIMESERIES(NETPROFIT,MEAN,-7FY,-7FY,FY,'BKRACTMED=1,WIN=0,CURRENCY=USD,UNITS=AUTO,DATE=NOW')&lt;/Q&gt;&lt;R&gt;1&lt;/R&gt;&lt;C&gt;1&lt;/C&gt;&lt;D xsi:type="xsd:double"&gt;867.1&lt;/D&gt;&lt;/FQL&gt;&lt;FQL&gt;&lt;Q&gt;UNM^FE_TIMESERIES(NETPROFIT,MEAN,-8FY,-8FY,FY,'BKRACTMED=1,WIN=0,CURRENCY=USD,UNITS=AUTO,DATE=NOW')&lt;/Q&gt;&lt;R&gt;1&lt;/R&gt;&lt;C&gt;1&lt;/C&gt;&lt;D xsi:type="xsd:double"&gt;413.4&lt;/D&gt;&lt;/FQL&gt;&lt;FQL&gt;&lt;Q&gt;UNM^FE_TIMESERIES(NETPROFIT,MEAN,-9FY,-9FY,FY,'BKRACTMED=1,WIN=0,CURRENCY=USD,UNITS=AUTO,DATE=NOW')&lt;/Q&gt;&lt;R&gt;1&lt;/R&gt;&lt;C&gt;1&lt;/C&gt;&lt;D xsi:type="xsd:double"&gt;858.1&lt;/D&gt;&lt;/FQL&gt;&lt;FQL&gt;&lt;Q&gt;UNM^FE_TIMESERIES(NETPROFIT,MEAN,-10FY,-10FY,FY,'BKRACTMED=1,WIN=0,CURRENCY=USD,UNITS=AUTO,DATE=NOW')&lt;/Q&gt;&lt;R&gt;1&lt;/R&gt;&lt;C&gt;1&lt;/C&gt;&lt;D xsi:type="xsd:double"&gt;894.4&lt;/D&gt;&lt;/FQL&gt;&lt;FQL&gt;&lt;Q&gt;UNM^FE_TIMESERIES(SHEQUITY,MEAN,0FY,0FY,FY,'BKRACTMED=1,WIN=0,CURRENCY=USD,UNITS=AUTO,DATE=NOW')&lt;/Q&gt;&lt;R&gt;1&lt;/R&gt;&lt;C&gt;1&lt;/C&gt;&lt;D xsi:type="xsd:double"&gt;9197.5&lt;/D&gt;&lt;/FQL&gt;&lt;FQL&gt;&lt;Q&gt;UNM^FE_TIMESERIES(SHEQUITY,MEAN,-1FY,-1FY,FY,'BKRACTMED=1,WIN=0,CURRENCY=USD,UNITS=AUTO,DATE=NOW')&lt;/Q&gt;&lt;R&gt;1&lt;/R&gt;&lt;C&gt;1&lt;/C&gt;&lt;D xsi:type="xsd:double"&gt;11239.2&lt;/D&gt;&lt;/FQL&gt;&lt;FQL&gt;&lt;Q&gt;UNM^FE_TIMESERIES(SHEQUITY,MEAN,-2FY,-2FY,FY,'BKRACTMED=1,WIN=0,CURRENCY=USD,UNITS=AUTO,DATE=NOW')&lt;/Q&gt;&lt;R&gt;1&lt;/R&gt;&lt;C&gt;1&lt;/C&gt;&lt;D xsi:type="xsd:double"&gt;10871&lt;/D&gt;&lt;/FQL&gt;&lt;FQL&gt;&lt;Q&gt;UNM^FE_TIMESERIES(SHEQUITY,MEAN,-3FY,-3FY,FY,'BKRACTMED=1,WIN=0,CURRENCY=USD,UNITS=AUTO,DATE=NOW')&lt;/Q&gt;&lt;R&gt;1&lt;/R&gt;&lt;C&gt;1&lt;/C&gt;&lt;D xsi:type="xsd:double"&gt;9965&lt;/D&gt;&lt;/FQL&gt;&lt;FQL&gt;&lt;Q&gt;UNM^FE_TIMESERIES(SHEQUITY,MEAN,-4FY,-4FY,FY,'BKRACTMED=1,WIN=0,CURRENCY=USD,UNITS=AUTO,DATE=NOW')&lt;/Q&gt;&lt;R&gt;1&lt;/R&gt;&lt;C&gt;1&lt;/C&gt;&lt;D xsi:type="xsd:double"&gt;8621.8&lt;/D&gt;&lt;/FQL&gt;&lt;FQL&gt;&lt;Q&gt;UNM^FE_TIMESERIES(SHEQUITY,MEAN,-5FY,-5FY,FY,'BKRACTMED=1,WIN=0,CURRENCY=USD,UNITS=AUTO,DATE=NOW')&lt;/Q&gt;&lt;R&gt;1&lt;/R&gt;&lt;C&gt;1&lt;/C&gt;&lt;D xsi:type="xsd:double"&gt;9574.9&lt;/D&gt;&lt;/FQL&gt;&lt;FQL&gt;&lt;Q&gt;UNM^FE_TIMESERIES(SHEQUITY,MEAN,-6FY,-6FY,FY,'BKRACTMED=1,WIN=0,CURRENCY=USD,UNITS=AUTO,DATE=NOW')&lt;/Q&gt;&lt;R&gt;1&lt;/R&gt;&lt;C&gt;1&lt;/C&gt;&lt;D xsi:type="xsd:double"&gt;8968&lt;/D&gt;&lt;/FQL&gt;&lt;FQL&gt;&lt;Q&gt;UNM^FE_TIMESERIES(SHEQUITY,MEAN,-7FY,-7FY,FY,'BKRACTMED=1,WIN=0,CURRENCY=USD,UNITS=AUTO,DATE=NOW')&lt;/Q&gt;&lt;R&gt;1&lt;/R&gt;&lt;C&gt;1&lt;/C&gt;&lt;D xsi:type="xsd:double"&gt;8663.9&lt;/D&gt;&lt;/FQL&gt;&lt;FQL&gt;&lt;Q&gt;UNM^FE_TIMESERIES(SHEQUITY,MEAN,-8FY,-8FY,FY,'BKRACTMED=1,WIN=0,CURRENCY=USD,UNITS=AUTO,DATE=NOW')&lt;/Q&gt;&lt;R&gt;1&lt;/R&gt;&lt;C&gt;1&lt;/C&gt;&lt;D xsi:type="xsd:double"&gt;8552.4&lt;/D&gt;&lt;/FQL&gt;&lt;FQL&gt;&lt;Q&gt;UNM^FE_TIMESERIES(SHEQUITY,MEAN,-9FY,-9FY,FY,'BKRACTMED=1,WIN=0,CURRENCY=USD,UNITS=AUTO,DATE=NOW')&lt;/Q&gt;&lt;R&gt;1&lt;/R&gt;&lt;C&gt;1&lt;/C&gt;&lt;D xsi:type="xsd:double"&gt;8659.1&lt;/D&gt;&lt;/FQL&gt;&lt;FQL&gt;&lt;Q&gt;UNM^FE_TIMESERIES(SHEQUITY,MEAN,-10FY,-10FY,FY,'BKRACTMED=1,WIN=0,CURRENCY=USD,UNITS=AUTO,DATE=NOW')&lt;/Q&gt;&lt;R&gt;1&lt;/R&gt;&lt;C&gt;1&lt;/C&gt;&lt;D xsi:type="xsd:double"&gt;8612.6&lt;/D&gt;&lt;/FQL&gt;&lt;FQL&gt;&lt;Q&gt;UNM^FE_TIMESERIES(TOTASSET,MEAN,0FY,0FY,FY,'BKRACTMED=1,WIN=0,CURRENCY=USD,UNITS=AUTO,DATE=NOW')&lt;/Q&gt;&lt;R&gt;0&lt;/R&gt;&lt;C&gt;0&lt;/C&gt;&lt;/FQL&gt;&lt;FQL&gt;&lt;Q&gt;UNM^FE_TIMESERIES(TOTASSET,MEAN,-1FY,-1FY,FY,'BKRACTMED=1,WIN=0,CURRENCY=USD,UNITS=AUTO,DATE=NOW')&lt;/Q&gt;&lt;R&gt;0&lt;/R&gt;&lt;C&gt;0&lt;/C&gt;&lt;/FQL&gt;&lt;FQL&gt;&lt;Q&gt;UNM^FE_TIMESERIES(TOTASSET,MEAN,-2FY,-2FY,FY,'BKRACTMED=1,WIN=0,CURRENCY=USD,UNITS=AUTO,DATE=NOW')&lt;/Q&gt;&lt;R&gt;0&lt;/R&gt;&lt;C&gt;0&lt;/C&gt;&lt;/FQL&gt;&lt;FQL&gt;&lt;Q&gt;UNM^FE_TIMESERIES(TOTASSET,MEAN,-3FY,-3FY,FY,'BKRACTMED=1,WIN=0,CURRENCY=USD,UNITS=AUTO,DATE=NOW')&lt;/Q&gt;&lt;R&gt;0&lt;/R&gt;&lt;C&gt;0&lt;/C&gt;&lt;/FQL&gt;&lt;FQL&gt;&lt;Q&gt;UNM^FE_TIMESERIES(TOTASSET,MEAN,-4FY,-4FY,FY,'BKRACTMED=1,WIN=0,CURRENCY=USD,UNITS=AUTO,DATE=NOW')&lt;/Q&gt;&lt;R&gt;0&lt;/R&gt;&lt;C&gt;0&lt;/C&gt;&lt;/FQL&gt;&lt;FQL&gt;&lt;Q&gt;UNM^FE_TIMESERIES(TOTASSET,MEAN,-5FY,-5FY,FY,'BKRACTMED=1,WIN=0,CURRENCY=USD,UNITS=AUTO,DATE=NOW')&lt;/Q&gt;&lt;R&gt;1&lt;/R&gt;&lt;C&gt;1&lt;/C&gt;&lt;D xsi:type="xsd:double"&gt;64013&lt;/D&gt;&lt;/FQL&gt;&lt;FQL&gt;&lt;Q&gt;UNM^FE_TIMESERIES(TOTASSET,MEAN,-6FY,-6FY,FY,'BKRACTMED=1,WIN=0,CURRENCY=USD,UNITS=AUTO,DATE=NOW')&lt;/Q&gt;&lt;R&gt;1&lt;/R&gt;&lt;C&gt;1&lt;/C&gt;&lt;D xsi:type="xsd:double"&gt;61942&lt;/D&gt;&lt;/FQL&gt;&lt;FQL&gt;&lt;Q&gt;UNM^FE_TIMESERIES(TOTASSET,MEAN,-7FY,-7FY,FY,'BKRACTMED=1,WIN=0,CURRENCY=USD,UNITS=AUTO,DATE=NOW')&lt;/Q&gt;&lt;R&gt;1&lt;/R&gt;&lt;C&gt;1&lt;/C&gt;&lt;D xsi:type="xsd:double"&gt;60589.7&lt;/D&gt;&lt;/FQL&gt;&lt;FQL&gt;&lt;Q&gt;UNM^FE_TIMESERIES(TOTASSET,MEAN,-8FY,-8FY,FY,'BKRACTMED=1,WIN=0,CURRENCY=USD,UNITS=AUTO,DATE=NOW')&lt;/Q&gt;&lt;R&gt;1&lt;/R&gt;&lt;C&gt;1&lt;/C&gt;&lt;D xsi:type="xsd:double"&gt;62497.1&lt;/D&gt;&lt;/FQL&gt;&lt;FQL&gt;&lt;Q&gt;UNM^FE_TIMESERIES(TOTASSET,MEAN,-9FY,-9FY,FY,'BKRACTMED=1,WIN=0,CURRENCY=USD,UNITS=AUTO,DATE=NOW')&lt;/Q&gt;&lt;R&gt;0&lt;/R&gt;&lt;C&gt;0&lt;/C&gt;&lt;/FQL&gt;&lt;FQL&gt;&lt;Q&gt;UNM^FE_TIMESERIES(TOTASSET,MEAN,-10FY,-10FY,FY,'BKRACTMED=1,WIN=0,CURRENCY=USD,UNITS=AUTO,DATE=NOW')&lt;/Q&gt;&lt;R&gt;0&lt;/R&gt;&lt;C&gt;0&lt;/C&gt;&lt;/FQL&gt;&lt;FQL&gt;&lt;Q&gt;UNM^FE_TIMESERIES(CURRENTASSETS,MEAN,0FY,0FY,FY,'BKRACTMED=1,WIN=0,CURRENCY=USD,UNITS=AUTO,DATE=NOW')&lt;/Q&gt;&lt;R&gt;0&lt;/R&gt;&lt;C&gt;0&lt;/C&gt;&lt;/FQL&gt;&lt;FQL&gt;&lt;Q&gt;UNM^FE_TIMESERIES(CURRENTASSETS,MEAN,-1FY,-1FY,FY,'BKRACTMED=1,WIN=0,CURRENCY=USD,UNITS=AUTO,DATE=NOW')&lt;/Q&gt;&lt;R&gt;0&lt;/R&gt;&lt;C&gt;0&lt;/C&gt;&lt;/FQL&gt;&lt;FQL&gt;&lt;Q&gt;UNM^FE_TIMESERIES(CURRENTASSETS,MEAN,-2FY,-2FY,FY,'BKRACTMED=1,WIN=0,CURRENCY=USD,UNITS=AUTO,DATE=NOW')&lt;/Q&gt;&lt;R&gt;0&lt;/R&gt;&lt;C&gt;0&lt;/C&gt;&lt;/FQL&gt;&lt;FQL&gt;&lt;Q&gt;UNM^FE_TIMESERIES(CURRENTASSETS,MEAN,-3FY,-3FY,FY,'BKRACTMED=1,WIN=0,CURRENCY=USD,UNITS=AUTO,DATE=NOW')&lt;/Q&gt;&lt;R&gt;0&lt;/R&gt;&lt;C&gt;0&lt;/C&gt;&lt;/FQL&gt;&lt;FQL&gt;&lt;Q&gt;UNM^FE_TIMESERIES(CURRENTASSETS,MEAN,-4FY,-4FY,FY,'BKRACTMED=1,WIN=0,CURRENCY=USD,UNITS=AUTO,DATE=NOW')&lt;/Q&gt;&lt;R&gt;0&lt;/R&gt;&lt;C&gt;0&lt;/C&gt;&lt;/FQL&gt;&lt;FQL&gt;&lt;Q&gt;UNM^FE_TIMESERIES(CURRENTASSETS,MEAN,-5FY,-5FY,FY,'BKRACTMED=1,WIN=0,CURRENCY=USD,UNITS=AUTO,DATE=NOW')&lt;/Q&gt;&lt;R&gt;0&lt;/R&gt;&lt;C&gt;0&lt;/C&gt;&lt;/FQL&gt;&lt;FQL&gt;&lt;Q&gt;UNM^FE_TIMESERIES(CURRENTASSETS,MEAN,-6FY,-6FY,FY,'BKRACTMED=1,WIN=0,CURRENCY=USD,UNITS=AUTO,DATE=NOW')&lt;/Q&gt;&lt;R&gt;0&lt;/R&gt;&lt;C&gt;0&lt;/C&gt;&lt;/FQL&gt;&lt;FQL&gt;&lt;Q&gt;UNM^FE_TIMESERIES(CURRENTASSETS,MEAN,-7FY,-7FY,FY,'BKRACTMED=1,WIN=0,CURRENCY=USD,UNITS=AUTO,DATE=NOW')&lt;/Q&gt;&lt;R&gt;0&lt;/R&gt;&lt;C&gt;0&lt;/C&gt;&lt;/FQL&gt;&lt;FQL&gt;&lt;Q&gt;UNM^FE_TIMESERIES(CURRENTASSETS,MEAN,-8FY,-8FY,FY,'BKRACTMED=1,WIN=0,CURRENCY=USD,UNITS=AUTO,DATE=NOW')&lt;/Q&gt;&lt;R&gt;0&lt;/R&gt;&lt;C&gt;0&lt;/C&gt;&lt;/FQL&gt;&lt;FQL&gt;&lt;Q&gt;UNM^FE_TIMESERIES(CURRENTASSETS,MEAN,-9FY,-9FY,FY,'BKRACTMED=1,WIN=0,CURRENCY=USD,UNITS=AUTO,DATE=NOW')&lt;/Q&gt;&lt;R&gt;0&lt;/R&gt;&lt;C&gt;0&lt;/C&gt;&lt;/FQL&gt;&lt;FQL&gt;&lt;Q&gt;UNM^FE_TIMESERIES(CURRENTASSETS,MEAN,-10FY,-10FY,FY,'BKRACTMED=1,WIN=0,CURRENCY=USD,UNITS=AUTO,DATE=NOW')&lt;/Q&gt;&lt;R&gt;0&lt;/R&gt;&lt;C&gt;0&lt;/C&gt;&lt;/FQL&gt;&lt;FQL&gt;&lt;Q&gt;UNM^FE_TIMESERIES(INVENTORIES,MEAN,0FY,0FY,FY,'BKRACTMED=1,WIN=0,CURRENCY=USD,UNITS=AUTO,DATE=NOW')&lt;/Q&gt;&lt;R&gt;0&lt;/R&gt;&lt;C&gt;0&lt;/C&gt;&lt;/FQL&gt;&lt;FQL&gt;&lt;Q&gt;UNM^FE_TIMESERIES(INVENTORIES,MEAN,-1FY,-1FY,FY,'BKRACTMED=1,WIN=0,CURRENCY=USD,UNITS=AUTO,DATE=NOW')&lt;/Q&gt;&lt;R&gt;0&lt;/R&gt;&lt;C&gt;0&lt;/C&gt;&lt;/FQL&gt;&lt;FQL&gt;&lt;Q&gt;UNM^FE_TIMESERIES(INVENTORIES,MEAN,-2FY,-2FY,FY,'BKRACTMED=1,WIN=0,CURRENCY=USD,UNITS=AUTO,DATE=NOW')&lt;/Q&gt;&lt;R&gt;0&lt;/R&gt;&lt;C&gt;0&lt;/C&gt;&lt;/FQL&gt;&lt;FQL&gt;&lt;Q&gt;UNM^FE_TIMESERIES(INVENTORIES,MEAN,-3FY,-3FY,FY,'BKRACTMED=1,WIN=0,CURRENCY=USD,UNITS=AUTO,DATE=NOW')&lt;/Q&gt;&lt;R&gt;0&lt;/R&gt;&lt;C&gt;0&lt;/C&gt;&lt;/FQL&gt;&lt;FQL&gt;&lt;Q&gt;UNM^FE_TIMESERIES(INVENTORIES,MEAN,-4FY,-4FY,FY,'BKRACTMED=1,WIN=0,CURRENCY=USD,UNITS=AUTO,DATE=NOW')&lt;/Q&gt;&lt;R&gt;0&lt;/R&gt;&lt;C&gt;0&lt;/C&gt;&lt;/FQL&gt;&lt;FQL&gt;&lt;Q&gt;UNM^FE_TIMESERIES(INVENTORIES,MEAN,-5FY,-5FY,FY,'BKRACTMED=1,WIN=0,CURRENCY=USD,UNITS=AUTO,DATE=NOW')&lt;/Q&gt;&lt;R&gt;0&lt;/R&gt;&lt;C&gt;0&lt;/C&gt;&lt;/FQL&gt;&lt;FQL&gt;&lt;Q&gt;UNM^FE_TIMESERIES(INVENTORIES,MEAN,-6FY,-6FY,FY,'BKRACTMED=1,WIN=0,CURRENCY=USD,UNITS=AUTO,DATE=NOW')&lt;/Q&gt;&lt;R&gt;0&lt;/R&gt;&lt;C&gt;0&lt;/C&gt;&lt;/FQL&gt;&lt;FQL&gt;&lt;Q&gt;UNM^FE_TIMESERIES(INVENTORIES,MEAN,-7FY,-7FY,FY,'BKRACTMED=1,WIN=0,CURRENCY=USD,UNITS=AUTO,DATE=NOW')&lt;/Q&gt;&lt;R&gt;0&lt;/R&gt;&lt;C&gt;0&lt;/C&gt;&lt;/FQL&gt;&lt;FQL&gt;&lt;Q&gt;UNM^FE_TIMESERIES(INVENTORIES,MEAN,-8FY,-8FY,FY,'BKRACTMED=1,WIN=0,CURRENCY=USD,UNITS=AUTO,DATE=NOW')&lt;/Q&gt;&lt;R&gt;0&lt;/R&gt;&lt;C&gt;0&lt;/C&gt;&lt;/FQL&gt;&lt;FQL&gt;&lt;Q&gt;UNM^FE_TIMESERIES(INVENTORIES,MEAN,-9FY,-9FY,FY,'BKRACTMED=1,WIN=0,CURRENCY=USD,UNITS=AUTO,DATE=NOW')&lt;/Q&gt;&lt;R&gt;0&lt;/R&gt;&lt;C&gt;0&lt;/C&gt;&lt;/FQL&gt;&lt;FQL&gt;&lt;Q&gt;UNM^FE_TIMESERIES(INVENTORIES,MEAN,-10FY,-10FY,FY,'BKRACTMED=1,WIN=0,CURRENCY=USD,UNITS=AUTO,DATE=NOW')&lt;/Q&gt;&lt;R&gt;0&lt;/R&gt;&lt;C&gt;0&lt;/C&gt;&lt;/FQL&gt;&lt;FQL&gt;&lt;Q&gt;UNM^FE_TIMESERIES(RECEIV_NET,MEAN,0FY,0FY,FY,'BKRACTMED=1,WIN=0,CURRENCY=USD,UNITS=AUTO,DATE=NOW')&lt;/Q&gt;&lt;R&gt;0&lt;/R&gt;&lt;C&gt;0&lt;/C&gt;&lt;/FQL&gt;&lt;FQL&gt;&lt;Q&gt;UNM^FE_TIMESERIES(RECEIV_NET,MEAN,-1FY,-1FY,FY,'BKRACTMED=1,WIN=0,CURRENCY=USD,UNITS=AUTO,DATE=NOW')&lt;/Q&gt;&lt;R&gt;0&lt;/R&gt;&lt;C&gt;0&lt;/C&gt;&lt;/FQL&gt;&lt;FQL&gt;&lt;Q&gt;UNM^FE_TIMESERIES(RECEIV_NET,MEAN,-2FY,-2FY,FY,'BKRACTMED=1,WIN=0,CURRENCY=USD,UNITS=AUTO,DATE=NOW')&lt;/Q&gt;&lt;R&gt;0&lt;/R&gt;&lt;C&gt;0&lt;/C&gt;&lt;/FQL&gt;&lt;FQL&gt;&lt;Q&gt;UNM^FE_TIMESERIES(RECEIV_NET,MEAN,-3FY,-3FY,FY,'BKRACTMED=1,WIN=0,CURRENCY=USD,UNITS=AUTO,DATE=NOW')&lt;/Q&gt;&lt;R&gt;0&lt;/R&gt;&lt;C&gt;0&lt;/C&gt;&lt;/FQL&gt;&lt;FQL&gt;&lt;Q&gt;UNM^FE_TIMESERIES(RECEIV_NET,MEAN,-4FY,-4FY,FY,'BKRACTMED=1,WIN=0,CURRENCY=USD,UNITS=AUTO,DATE=NOW')&lt;/Q&gt;&lt;R&gt;0&lt;/R&gt;&lt;C&gt;0&lt;/C&gt;&lt;/FQL&gt;&lt;FQL&gt;&lt;Q&gt;UNM^FE_TIMESERIES(RECEIV_NET,MEAN,-5FY,-5FY,FY,'BKRACTMED=1,WIN=0,CURRENCY=USD,UNITS=AUTO,DATE=NOW')&lt;/Q&gt;&lt;R&gt;0&lt;/R&gt;&lt;C&gt;0&lt;/C&gt;&lt;/FQL&gt;&lt;FQL&gt;&lt;Q&gt;UNM^FE_TIMESERIES(RECEIV_NET,MEAN,-6FY,-6FY,FY,'BKRACTMED=1,WIN=0,CURRENCY=USD,UNITS=AUTO,DATE=NOW')&lt;/Q&gt;&lt;R&gt;0&lt;/R&gt;&lt;C&gt;0&lt;/C&gt;&lt;/FQL&gt;&lt;FQL&gt;&lt;Q&gt;UNM^FE_TIMESERIES(RECEIV_NET,MEAN,-7FY,-7FY,FY,'BKRACTMED=1,WIN=0,CURRENCY=USD,UNITS=AUTO,DATE=NOW')&lt;/Q&gt;&lt;R&gt;0&lt;/R&gt;&lt;C&gt;0&lt;/C&gt;&lt;/FQL&gt;&lt;FQL&gt;&lt;Q&gt;UNM^FE_TIMESERIES(RECEIV_NET,MEAN,-8FY,-8FY,FY,'BKRACTMED=1,WIN=0,CURRENCY=USD,UNITS=AUTO,DATE=NOW')&lt;/Q&gt;&lt;R&gt;0&lt;/R&gt;&lt;C&gt;0&lt;/C&gt;&lt;/FQL&gt;&lt;FQL&gt;&lt;Q&gt;UNM^FE_TIMESERIES(RECEIV_NET,MEAN,-9FY,-9FY,FY,'BKRACTMED=1,WIN=0,CURRENCY=USD,UNITS=AUTO,DATE=NOW')&lt;/Q&gt;&lt;R&gt;0&lt;/R&gt;&lt;C&gt;0&lt;/C&gt;&lt;/FQL&gt;&lt;FQL&gt;&lt;Q&gt;UNM^FE_TIMESERIES(RECEIV_NET,MEAN,-10FY,-10FY,FY,'BKRACTMED=1,WIN=0,CURRENCY=USD,UNITS=AUTO,DATE=NOW')&lt;/Q&gt;&lt;R&gt;0&lt;/R&gt;&lt;C&gt;0&lt;/C&gt;&lt;/FQL&gt;&lt;FQL&gt;&lt;Q&gt;UNM^FE_TIMESERIES(CASH_ST,MEAN,0FY,0FY,FY,'BKRACTMED=1,WIN=0,CURRENCY=USD,UNITS=AUTO,DATE=NOW')&lt;/Q&gt;&lt;R&gt;0&lt;/R&gt;&lt;C&gt;0&lt;/C&gt;&lt;/FQL&gt;&lt;FQL&gt;&lt;Q&gt;UNM^FE_TIMESERIES(CASH_ST,MEAN,-1FY,-1FY,FY,'BKRACTMED=1,WIN=0,CURRENCY=USD,UNITS=AUTO,DATE=NOW')&lt;/Q&gt;&lt;R&gt;0&lt;/R&gt;&lt;C&gt;0&lt;/C&gt;&lt;/FQL&gt;&lt;FQL&gt;&lt;Q&gt;UNM^FE_TIMESERIES(CASH_ST,MEAN,-2FY,-2FY,FY,'BKRACTMED=1,WIN=0,CURRENCY=USD,UNITS=AUTO,DATE=NOW')&lt;/Q&gt;&lt;R&gt;0&lt;/R&gt;&lt;C&gt;0&lt;/C&gt;&lt;/FQL&gt;&lt;FQL&gt;&lt;Q&gt;UNM^FE_TIMESERIES(CASH_ST,MEAN,-3FY,-3FY,FY,'BKRACTMED=1,WIN=0,CURRENCY=USD,UNITS=AUTO,DATE=NOW')&lt;/Q&gt;&lt;R&gt;0&lt;/R&gt;&lt;C&gt;0&lt;/C&gt;&lt;/FQL&gt;&lt;FQL&gt;&lt;Q&gt;UNM^FE_TIMESERIES(CASH_ST,MEAN,-4FY,-4FY,FY,'BKRACTMED=1,WIN=0,CURRENCY=USD,UNITS=AUTO,DATE=NOW')&lt;/Q&gt;&lt;R&gt;0&lt;/R&gt;&lt;C&gt;0&lt;/C&gt;&lt;/FQL&gt;&lt;FQL&gt;&lt;Q&gt;UNM^FE_TIMESERIES(CASH_ST,MEAN,-5FY,-5FY,FY,'BKRACTMED=1,WIN=0,CURRENCY=USD,UNITS=AUTO,DATE=NOW')&lt;/Q&gt;&lt;R&gt;0&lt;/R&gt;&lt;C&gt;0&lt;/C&gt;&lt;/FQL&gt;&lt;FQL&gt;&lt;Q&gt;UNM^FE_TIMESERIES(CASH_ST,MEAN,-6FY,-6FY,FY,'BKRACTMED=1,WIN=0,CURRENCY=USD,UNITS=AUTO,DATE=NOW')&lt;/Q&gt;&lt;R&gt;0&lt;/R&gt;&lt;C&gt;0&lt;/C&gt;&lt;/FQL&gt;&lt;FQL&gt;&lt;Q&gt;UNM^FE_TIMESERIES(CASH_ST,MEAN,-7FY,-7FY,FY,'BKRACTMED=1,WIN=0,CURRENCY=USD,UNITS=AUTO,DATE=NOW')&lt;/Q&gt;&lt;R&gt;0&lt;/R&gt;&lt;C&gt;0&lt;/C&gt;&lt;/FQL&gt;&lt;FQL&gt;&lt;Q&gt;UNM^FE_TIMESERIES(CASH_ST,MEAN,-8FY,-8FY,FY,'BKRACTMED=1,WIN=0,CURRENCY=USD,UNITS=AUTO,DATE=NOW')&lt;/Q&gt;&lt;R&gt;0&lt;/R&gt;&lt;C&gt;0&lt;/C&gt;&lt;/FQL&gt;&lt;FQL&gt;&lt;Q&gt;UNM^FE_TIMESERIES(CASH_ST,MEAN,-9FY,-9FY,FY,'BKRACTMED=1,WIN=0,CURRENCY=USD,UNITS=AUTO,DATE=NOW')&lt;/Q&gt;&lt;R&gt;0&lt;/R&gt;&lt;C&gt;0&lt;/C&gt;&lt;/FQL&gt;&lt;FQL&gt;&lt;Q&gt;UNM^FE_TIMESERIES(CASH_ST,MEAN,-10FY,-10FY,FY,'BKRACTMED=1,WIN=0,CURRENCY=USD,UNITS=AUTO,DATE=NOW')&lt;/Q&gt;&lt;R&gt;0&lt;/R&gt;&lt;C&gt;0&lt;/C&gt;&lt;/FQL&gt;&lt;FQL&gt;&lt;Q&gt;UNM^FE_TIMESERIES(EPS,MEAN,0FY,0FY,FY,'BKRACTMED=1,WIN=0,CURRENCY=USD,UNITS=AUTO,DATE=NOW')&lt;/Q&gt;&lt;R&gt;1&lt;/R&gt;&lt;C&gt;1&lt;/C&gt;&lt;D xsi:type="xsd:double"&gt;6.21&lt;/D&gt;&lt;/FQL&gt;&lt;FQL&gt;&lt;Q&gt;UNM^FE_TIMESERIES(EPS,MEAN,-1FY,-1FY,FY,'BKRACTMED=1,WIN=0,CURRENCY=USD,UNITS=AUTO,DATE=NOW')&lt;/Q&gt;&lt;R&gt;1&lt;/R&gt;&lt;C&gt;1&lt;/C&gt;&lt;D xsi:type="xsd:double"&gt;4.35&lt;/D&gt;&lt;/FQL&gt;&lt;FQL&gt;&lt;Q&gt;UNM^FE_TIMESERIES(EPS,MEAN,-2FY,-2FY,FY,'BKRACTMED=1,WIN=0,CURRENCY=USD,UNITS=AUTO,DATE=NOW')&lt;/Q&gt;&lt;R&gt;1&lt;/R&gt;&lt;C&gt;1&lt;/C&gt;&lt;D xsi:type="xsd:double"&gt;4.93&lt;/D&gt;&lt;/FQL&gt;&lt;FQL&gt;&lt;Q&gt;UNM^FE_TIMESERIES(EPS,MEAN,-3FY,-3FY,FY,'BKRACTMED=1,WIN=0,CURRENCY=USD,UNITS=AUTO,DATE=NOW')&lt;/Q&gt;&lt;R&gt;1&lt;/R&gt;&lt;C&gt;1&lt;/C&gt;&lt;D xsi:type="xsd:double"&gt;5.44&lt;/D&gt;&lt;/FQL&gt;&lt;FQL&gt;&lt;Q&gt;UNM^FE_TIMESERIES(EPS,MEAN,-4FY,-4FY,FY,'BKRACTMED=1,WIN=0,CURRENCY=USD,UNITS=AUTO,DATE=NOW')&lt;/Q&gt;&lt;R&gt;1&lt;/R&gt;&lt;C&gt;1&lt;/C&gt;&lt;D xsi:type="xsd:double"&gt;5.2&lt;/D&gt;&lt;/FQL&gt;&lt;FQL&gt;&lt;Q&gt;UNM^FE_TIMESERIES(EPS,MEAN,-5FY,-5FY,FY,'BKRACTMED=1,WIN=0,CURRENCY=USD,UNITS=AUTO,DATE=NOW')&lt;/Q&gt;&lt;R&gt;1&lt;/R&gt;&lt;C&gt;1&lt;/C&gt;&lt;D xsi:type="xsd:double"&gt;4.29&lt;/D&gt;&lt;/FQL&gt;&lt;FQL&gt;&lt;Q&gt;UNM^FE_TIMESERIES(EPS,MEAN,-6FY,-6FY,FY,'BKRACTMED=1,WIN=0,CURRENCY=USD,UNITS=AUTO,DATE=NOW')&lt;/Q&gt;&lt;R&gt;1&lt;/R&gt;&lt;C&gt;1&lt;/C&gt;&lt;D xsi:type="xsd:double"&gt;3.92&lt;/D&gt;&lt;/FQL&gt;&lt;FQL&gt;&lt;Q&gt;UNM^FE_TIMESERIES(EPS,MEAN,-7FY,-7FY,FY,'BKRACTMED=1,WIN=0,CURRENCY=USD,UNITS=AUTO,DATE=NOW')&lt;/Q&gt;&lt;R&gt;1&lt;/R&gt;&lt;C&gt;1&lt;/C&gt;&lt;D xsi:type="xsd:double"&gt;3.64&lt;/D&gt;&lt;/FQL&gt;&lt;FQL&gt;&lt;Q&gt;UNM^FE_TIMESERIES(EPS,MEAN,-8FY,-8FY,FY,'BKRACTMED=1,WIN=0,CURRENCY=USD,UNITS=AUTO,DATE=NOW')&lt;/Q&gt;&lt;R&gt;1&lt;/R&gt;&lt;C&gt;1&lt;/C&gt;&lt;D xsi:type="xsd:double"&gt;3.55&lt;/D&gt;&lt;/FQL&gt;&lt;FQL&gt;&lt;Q&gt;UNM^FE_TIMESERIES(EPS,MEAN,-9FY,-9FY,FY,'BKRACTMED=1,WIN=0,CURRENCY=USD,UNITS=AUTO,DATE=NOW')&lt;/Q&gt;&lt;R&gt;1&lt;/R&gt;&lt;C&gt;1&lt;/C&gt;&lt;D xsi:type="xsd:double"&gt;3.32&lt;/D&gt;&lt;/FQL&gt;&lt;FQL&gt;&lt;Q&gt;UNM^FE_TIMESERIES(EPS,MEAN,-10FY,-10FY,FY,'BKRACTMED=1,WIN=0,CURRENCY=USD,UNITS=AUTO,DATE=NOW')&lt;/Q&gt;&lt;R&gt;1&lt;/R&gt;&lt;C&gt;1&lt;/C&gt;&lt;D xsi:type="xsd:double"&gt;3.15&lt;/D&gt;&lt;/FQL&gt;&lt;FQL&gt;&lt;Q&gt;UNM^FE_TIMESERIES(TAX_EXPENSE,MEAN,0FY,0FY,FY,'BKRACTMED=1,WIN=0,CURRENCY=USD,UNITS=AUTO,DATE=NOW')&lt;/Q&gt;&lt;R&gt;1&lt;/R&gt;&lt;C&gt;1&lt;/C&gt;&lt;D xsi:type="xsd:double"&gt;302&lt;/D&gt;&lt;/FQL&gt;&lt;FQL&gt;&lt;Q&gt;UNM^FE_TIMESERIES(TAX_EXPENSE,MEAN,-1FY,-1FY,FY,'BKRACTMED=1,WIN=0,CURRENCY=USD,UNITS=AUTO,DATE=NOW')&lt;/Q&gt;&lt;R&gt;1&lt;/R&gt;&lt;C&gt;1&lt;/C&gt;&lt;D xsi:type="xsd:double"&gt;225.9&lt;/D&gt;&lt;/FQL&gt;&lt;FQL&gt;&lt;Q&gt;UNM^FE_TIMESERIES(TAX_EXPENSE,MEAN,-2FY,-2FY,FY,'BKRACTMED=1,WIN=0,CURRENCY=USD,UNITS=AUTO,DATE=NOW')&lt;/Q&gt;&lt;R&gt;1&lt;/R&gt;&lt;C&gt;1&lt;/C&gt;&lt;D xsi:type="xsd:double"&gt;233.45&lt;/D&gt;&lt;/FQL&gt;&lt;FQL&gt;&lt;Q&gt;UNM^FE_TIMESERIES(TAX_EXPENSE,MEAN,-3FY,-3FY,FY,'BKRACTMED=1,WIN=0,CURRENCY=USD,UNITS=AUTO,DATE=NOW')&lt;/Q&gt;&lt;R&gt;1&lt;/R&gt;&lt;C&gt;1&lt;/C&gt;&lt;D xsi:type="xsd:double"&gt;284.55&lt;/D&gt;&lt;/FQL&gt;&lt;FQL&gt;&lt;Q&gt;UNM^FE_TIMESERIES(TAX_EXPENSE,MEAN,-4FY,-4FY,FY,'BKRACTMED=1,WIN=0,CURRENCY=USD,UNITS=AUTO,DATE=NOW')&lt;/Q&gt;&lt;R&gt;1&lt;/R&gt;&lt;C&gt;1&lt;/C&gt;&lt;D xsi:type="xsd:double"&gt;115.4&lt;/D&gt;&lt;/FQL&gt;&lt;FQL&gt;&lt;Q&gt;UNM^FE_TIMESERIES(TAX_EXPENSE,MEAN,-5FY,-5FY,FY,'BKRACTMED=1,WIN=0,CURRENCY=USD,UNITS=AUTO,DATE=NOW')&lt;/Q&gt;&lt;R&gt;1&lt;/R&gt;&lt;C&gt;1&lt;/C&gt;&lt;D xsi:type="xsd:double"&gt;436.8&lt;/D&gt;&lt;/FQL&gt;&lt;FQL&gt;&lt;Q&gt;UNM^FE_TIMESERIES(TAX_EXPENSE,MEAN,-6FY,-6FY,FY,'BKRACTMED=1,WIN=0,CURRENCY=USD,UNITS=AUTO,DATE=NOW')&lt;/Q&gt;&lt;R&gt;1&lt;/R&gt;&lt;C&gt;1&lt;/C&gt;&lt;D xsi:type="xsd:double"&gt;413.6&lt;/D&gt;&lt;/FQL&gt;&lt;FQL&gt;&lt;Q&gt;UNM^FE_TIMESERIES(TAX_EXPENSE,MEAN,-7FY,-7FY,FY,'BKRACTMED=1,WIN=0,CURRENCY=USD,UNITS=AUTO,DATE=NOW')&lt;/Q&gt;&lt;R&gt;1&lt;/R&gt;&lt;C&gt;1&lt;/C&gt;&lt;D xsi:type="xsd:double"&gt;393&lt;/D&gt;&lt;/FQL&gt;&lt;FQL&gt;&lt;Q&gt;UNM^FE_TIMESERIES(TAX_EXPENSE,MEAN,-8FY,-8FY,FY,'BKRACTMED=1,WIN=0,CURRENCY=USD,UNITS=AUTO,DATE=NOW')&lt;/Q&gt;&lt;R&gt;1&lt;/R&gt;&lt;C&gt;1&lt;/C&gt;&lt;D xsi:type="xsd:double"&gt;136.3&lt;/D&gt;&lt;/FQL&gt;&lt;FQL&gt;&lt;Q&gt;UNM^FE_TIMESERIES(TAX_EXPENSE,MEAN,-9FY,-9FY,FY,'BKRACTMED=1,WIN=0,CURRENCY=USD,UNITS=AUTO,DATE=NOW')&lt;/Q&gt;&lt;R&gt;1&lt;/R&gt;&lt;C&gt;1&lt;/C&gt;&lt;D xsi:type="xsd:double"&gt;355.7&lt;/D&gt;&lt;/FQL&gt;&lt;FQL&gt;&lt;Q&gt;UNM^FE_TIMESERIES(TAX_EXPENSE,MEAN,-10FY,-10FY,FY,'BKRACTMED=1,WIN=0,CURRENCY=USD,UNITS=AUTO,DATE=NOW')&lt;/Q&gt;&lt;R&gt;1&lt;/R&gt;&lt;C&gt;1&lt;/C&gt;&lt;D xsi:type="xsd:double"&gt;352.2&lt;/D&gt;&lt;/FQL&gt;&lt;FQL&gt;&lt;Q&gt;UNM^FE_TIMESERIES(PTP,MEAN,0FY,0FY,FY,'BKRACTMED=1,WIN=0,CURRENCY=USD,UNITS=AUTO,DATE=NOW')&lt;/Q&gt;&lt;R&gt;1&lt;/R&gt;&lt;C&gt;1&lt;/C&gt;&lt;D xsi:type="xsd:double"&gt;1602.2&lt;/D&gt;&lt;/FQL&gt;&lt;FQL&gt;&lt;Q&gt;UNM^FE_TIMESERIES(PTP,MEAN,-1FY,-1FY,FY,'BKRACTMED=1,WIN=0,CURRENCY=USD,UNITS=AUTO,DATE=NOW')&lt;/Q&gt;&lt;R&gt;1&lt;/R&gt;&lt;C&gt;1&lt;/C&gt;&lt;D xsi:type="xsd:double"&gt;1089.45&lt;/D&gt;&lt;/FQL&gt;&lt;FQL&gt;&lt;Q&gt;UNM^FE_TIMESERIES(PTP,MEAN,-2FY,-2FY,FY,'BKRACTMED=1,WIN=0,CURRENCY=USD,UNITS=AUTO,DATE=NOW')&lt;/Q&gt;&lt;R&gt;1&lt;/R&gt;&lt;C&gt;1&lt;/C&gt;&lt;D xsi:type="xsd:double"&gt;1278&lt;/D&gt;&lt;/FQL&gt;&lt;FQL&gt;&lt;Q&gt;UNM^FE_TIMESERIES(PTP,MEAN,-3FY,-3FY,FY,'BKRACTMED=1,WIN=0,CURRENCY=USD,UNITS=AUTO,DATE=NOW')&lt;/Q&gt;&lt;R&gt;1&lt;/R&gt;&lt;C&gt;1&lt;/C&gt;&lt;D xsi:type="xsd:double"&gt;1428.9&lt;/D&gt;&lt;/FQL&gt;&lt;FQL&gt;&lt;Q&gt;UNM^FE_TIMESERIES(PTP,MEAN,-4FY,-4FY,FY,'BKRACTMED=1,WIN=0,CURRENCY=USD,UNITS=AUTO,DATE=NOW')&lt;/Q&gt;&lt;R&gt;1&lt;/R&gt;&lt;C&gt;1&lt;/C&gt;&lt;D xsi:type="xsd:double"&gt;667.3&lt;/D&gt;&lt;/FQL&gt;&lt;FQL&gt;&lt;Q&gt;UNM^FE_TIMESERIES(PTP,MEAN,-5FY,-5FY,FY,'BKRACTMED=1,WIN=0,CURRENCY=USD,UNITS=AUTO,DATE=NOW')&lt;/Q&gt;&lt;R&gt;1&lt;/R&gt;&lt;C&gt;1&lt;/C&gt;&lt;D xsi:type="xsd:double"&gt;1415.2&lt;/D&gt;&lt;/FQL&gt;&lt;FQL&gt;&lt;Q&gt;UNM^FE_TIMESERIES(PTP,MEAN,-6FY,-6FY,FY,'BKRACTMED=1,WIN=0,CURRENCY=USD,UNITS=AUTO,DATE=NOW')&lt;/Q&gt;&lt;R&gt;1&lt;/R&gt;&lt;C&gt;1&lt;/C&gt;&lt;D xsi:type="xsd:double"&gt;1339.8&lt;/D&gt;&lt;/FQL&gt;&lt;FQL&gt;&lt;Q&gt;UNM^FE_TIMESERIES(PTP,MEAN,-7FY,-7FY,FY,'BKRACTMED=1,WIN=0,CURRENCY=USD,UNITS=AUTO,DATE=NOW')&lt;/Q&gt;&lt;R&gt;1&lt;/R&gt;&lt;C&gt;1&lt;/C&gt;&lt;D xsi:type="xsd:double"&gt;1294&lt;/D&gt;&lt;/FQL&gt;&lt;FQL&gt;&lt;Q&gt;UNM^FE_TIMESERIES(PTP,MEAN,-8FY,-8FY,FY,'BKRACTMED=1,WIN=0,CURRENCY=USD,UNITS=AUTO,DATE=NOW')&lt;/Q&gt;&lt;R&gt;1&lt;/R&gt;&lt;C&gt;1&lt;/C&gt;&lt;D xsi:type="xsd:double"&gt;581.1&lt;/D&gt;&lt;/FQL&gt;&lt;FQL&gt;&lt;Q&gt;UNM^FE_TIMESERIES(PTP,MEAN,-9FY,-9FY,FY,'BKRACTMED=1,WIN=0,CURRENCY=USD,UNITS=AUTO,DATE=NOW')&lt;/Q&gt;&lt;R&gt;1&lt;/R&gt;&lt;C&gt;1&lt;/C&gt;&lt;D xsi:type="xsd:double"&gt;1231.3&lt;/D&gt;&lt;/FQL&gt;&lt;FQL&gt;&lt;Q&gt;UNM^FE_TIMESERIES(PTP,MEAN,-10FY,-10FY,FY,'BKRACTMED=1,WIN=0,CURRENCY=USD,UNITS=AUTO,DATE=NOW')&lt;/Q&gt;&lt;R&gt;1&lt;/R&gt;&lt;C&gt;1&lt;/C&gt;&lt;D xsi:type="xsd:double"&gt;1239.7&lt;/D&gt;&lt;/FQL&gt;&lt;FQL&gt;&lt;Q&gt;UNM^FE_TIMESERIES(INTEXP,MEAN,0FY,0FY,FY,'BKRACTMED=1,WIN=0,CURRENCY=USD,UNITS=AUTO,DATE=NOW')&lt;/Q&gt;&lt;R&gt;1&lt;/R&gt;&lt;C&gt;1&lt;/C&gt;&lt;D xsi:type="xsd:double"&gt;204.9&lt;/D&gt;&lt;/FQL&gt;&lt;FQL&gt;&lt;Q&gt;UNM^FE_TIMESERIES(INTEXP,MEAN,-1FY,-1FY,FY,'BKRACTMED=1,WIN=0,CURRENCY=USD,UNITS=AUTO,DATE=NOW')&lt;/Q&gt;&lt;R&gt;1&lt;/R&gt;&lt;C&gt;1&lt;/C&gt;&lt;D xsi:type="xsd:double"&gt;198.5&lt;/D&gt;&lt;/FQL&gt;&lt;FQL&gt;&lt;Q&gt;UNM^FE_TIMESERIES(INTEXP,MEAN,-2FY,-2FY,FY,'BKRACTMED=1,WIN=0,CURRENCY=USD,UNITS=AUTO,DATE=NOW')&lt;/Q&gt;&lt;R&gt;1&lt;/R&gt;&lt;C&gt;1&lt;/C&gt;&lt;D xsi:type="xsd:double"&gt;185.1&lt;/D&gt;&lt;/FQL&gt;&lt;FQL&gt;&lt;Q&gt;UNM^FE_TIMESERIES(INTEXP,MEAN,-3FY,-3FY,FY,'BKRACTMED=1,WIN=0,CURRENCY=USD,UNITS=AUTO,DATE=NOW')&lt;/Q&gt;&lt;R&gt;1&lt;/R&gt;&lt;C&gt;1&lt;/C&gt;&lt;D xsi:type="xsd:double"&gt;172.1&lt;/D&gt;&lt;/FQL&gt;&lt;FQL&gt;&lt;Q&gt;UNM^FE_TIMESERIES(INTEXP,MEAN,-4FY,-4FY,FY,'BKRACTMED=1,WIN=0,CURRENCY=USD,UNITS=AUTO,DATE=NOW')&lt;/Q&gt;&lt;R&gt;1&lt;/R&gt;&lt;C&gt;1&lt;/C&gt;&lt;D xsi:type="xsd:double"&gt;160.4&lt;/D&gt;&lt;/FQL&gt;&lt;FQL&gt;&lt;Q&gt;UNM^FE_TIMESERIES(INTEXP,MEAN,-5FY,-5FY,FY,'BKRACTMED=1,WIN=0,CURRENCY=USD,UNITS=AUTO,DATE=NOW')&lt;/Q&gt;&lt;R&gt;1&lt;/R&gt;&lt;C&gt;1&lt;/C&gt;&lt;D xsi:type="xsd:double"&gt;153.2&lt;/D&gt;&lt;/FQL&gt;&lt;FQL&gt;&lt;Q&gt;UNM^FE_TIMESERIES(INTEXP,MEAN,-6FY,-6FY,FY,'BKRACTMED=1,WIN=0,CURRENCY=USD,UNITS=AUTO,DATE=NOW')&lt;/Q&gt;&lt;R&gt;1&lt;/R&gt;&lt;C&gt;1&lt;/C&gt;&lt;D xsi:type="xsd:double"&gt;159.1&lt;/D&gt;&lt;/FQL&gt;&lt;FQL&gt;&lt;Q&gt;UNM^FE_TIMESERIES(INTEXP,MEAN,-7FY,-7FY,FY,'BKRACTMED=1,WIN=0,CURRENCY=USD,UNITS=AUTO,DATE=NOW')&lt;/Q&gt;&lt;R&gt;1&lt;/R&gt;&lt;C&gt;1&lt;/C&gt;&lt;D xsi:type="xsd:double"&gt;160.6&lt;/D&gt;&lt;/FQL&gt;&lt;FQL&gt;&lt;Q&gt;UNM^FE_TIMESERIES(INTEXP,MEAN,-8FY,-8FY,FY,'BKRACTMED=1,WIN=0,CURRENCY=USD,UNITS=AUTO,DATE=NOW')&lt;/Q&gt;&lt;R&gt;1&lt;/R&gt;&lt;C&gt;1&lt;/C&gt;&lt;D xsi:type="xsd:double"&gt;149.9&lt;/D&gt;&lt;/FQL&gt;&lt;FQL&gt;&lt;Q&gt;UNM^FE_TIMESERIES(INTEXP,MEAN,-9FY,-9FY,FY,'BKRACTMED=1,WIN=0,CURRENCY=USD,UNITS=AUTO,DATE=NOW')&lt;/Q&gt;&lt;R&gt;1&lt;/R&gt;&lt;C&gt;1&lt;/C&gt;&lt;D xsi:type="xsd:double"&gt;145.35&lt;/D&gt;&lt;/FQL&gt;&lt;FQL&gt;&lt;Q&gt;UNM^FE_TIMESERIES(INTEXP,MEAN,-10FY,-10FY,FY,'BKRACTMED=1,WIN=0,CURRENCY=USD,UNITS=AUTO,DATE=NOW')&lt;/Q&gt;&lt;R&gt;1&lt;/R&gt;&lt;C&gt;1&lt;/C&gt;&lt;D xsi:type="xsd:double"&gt;139.7&lt;/D&gt;&lt;/FQL&gt;&lt;FQL&gt;&lt;Q&gt;UNM^FE_TIMESERIES(EBIT,MEAN,0FY,0FY,FY,'BKRACTMED=1,WIN=0,CURRENCY=USD,UNITS=AUTO,DATE=NOW')&lt;/Q&gt;&lt;R&gt;1&lt;/R&gt;&lt;C&gt;1&lt;/C&gt;&lt;D xsi:type="xsd:double"&gt;1447&lt;/D&gt;&lt;/FQL&gt;&lt;FQL&gt;&lt;Q&gt;UNM^FE_TIMESERIES(EBIT,MEAN,-1FY,-1FY,FY,'BKRACTMED=1,WIN=0,CURRENCY=USD,UNITS=AUTO,DATE=NOW')&lt;/Q&gt;&lt;R&gt;1&lt;/R&gt;&lt;C&gt;1&lt;/C&gt;&lt;D xsi:type="xsd:double"&gt;986.3&lt;/D&gt;&lt;/FQL&gt;&lt;FQL&gt;&lt;Q&gt;UNM^FE_TIMESERIES(EBIT,MEAN,-2FY,-2FY,FY,'BKRACTMED=1,WIN=0,CURRENCY=USD,UNITS=AUTO,DATE=NOW')&lt;/Q&gt;&lt;R&gt;1&lt;/R&gt;&lt;C&gt;1&lt;/C&gt;&lt;D xsi:type="xsd:double"&gt;1005&lt;/D&gt;&lt;/FQL&gt;&lt;FQL&gt;&lt;Q&gt;UNM^FE_TIMESERIES(EBIT,MEAN,-3FY,-3FY,FY,'BKRACTMED=1,WIN=0,CURRENCY=USD,UNITS=AUTO,DATE=NOW')&lt;/Q&gt;&lt;R&gt;1&lt;/R&gt;&lt;C&gt;1&lt;/C&gt;&lt;D xsi:type="xsd:double"&gt;1425.2&lt;/D&gt;&lt;/FQL&gt;&lt;FQL&gt;&lt;Q&gt;UNM^FE_TIMESERIES(EBIT,MEAN,-4FY,-4FY,FY,'BKRACTMED=1,WIN=0,CURRENCY=USD,UNITS=AUTO,DATE=NOW')&lt;/Q&gt;&lt;R&gt;1&lt;/R&gt;&lt;C&gt;1&lt;/C&gt;&lt;D xsi:type="xsd:double"&gt;667.3&lt;/D&gt;&lt;/FQL&gt;&lt;FQL&gt;&lt;Q&gt;UNM^FE_TIMESERIES(EBIT,MEAN,-5FY,-5FY,FY,'BKRACTMED=1,WIN=0,CURRENCY=USD,UNITS=AUTO,DATE=NOW')&lt;/Q&gt;&lt;R&gt;1&lt;/R&gt;&lt;C&gt;1&lt;/C&gt;&lt;D xsi:type="xsd:double"&gt;1423.3&lt;/D&gt;&lt;/FQL&gt;&lt;FQL&gt;&lt;Q&gt;UNM^FE_TIMESERIES(EBIT,MEAN,-6FY,-6FY,FY,'BKRACTMED=1,WIN=0,CURRENCY=USD,UNITS=AUTO,DATE=NOW')&lt;/Q&gt;&lt;R&gt;1&lt;/R&gt;&lt;C&gt;1&lt;/C&gt;&lt;D xsi:type="xsd:double"&gt;1339.6&lt;/D&gt;&lt;/FQL&gt;&lt;FQL&gt;&lt;Q&gt;UNM^FE_TIMESERIES(EBIT,MEAN,-7FY,-7FY,FY,'BKRACTMED=1,WIN=0,CURRENCY=USD,UNITS=AUTO,DATE=NOW')&lt;/Q&gt;&lt;R&gt;1&lt;/R&gt;&lt;C&gt;1&lt;/C&gt;&lt;D xsi:type="xsd:double"&gt;1294&lt;/D&gt;&lt;/FQL&gt;&lt;FQL&gt;&lt;Q&gt;UNM^FE_TIMESERIES(EBIT,MEAN,-8FY,-8FY,FY,'BKRACTMED=1,WIN=0,CURRENCY=USD,UNITS=AUTO,DATE=NOW')&lt;/Q&gt;&lt;R&gt;1&lt;/R&gt;&lt;C&gt;1&lt;/C&gt;&lt;D xsi:type="xsd:double"&gt;1454.9&lt;/D&gt;&lt;/FQL&gt;&lt;FQL&gt;&lt;Q&gt;UNM^FE_TIMESERIES(EBIT,MEAN,-9FY,-9FY,FY,'BKRACTMED=1,WIN=0,CURRENCY=USD,UNITS=AUTO,DATE=NOW')&lt;/Q&gt;&lt;R&gt;1&lt;/R&gt;&lt;C&gt;1&lt;/C&gt;&lt;D xsi:type="xsd:double"&gt;1312.21&lt;/D&gt;&lt;/FQL&gt;&lt;FQL&gt;&lt;Q&gt;UNM^FE_TIMESERIES(EBIT,MEAN,-10FY,-10FY,FY,'BKRACTMED=1,WIN=0,CURRENCY=USD,UNITS=AUTO,DATE=NOW')&lt;/Q&gt;&lt;R&gt;1&lt;/R&gt;&lt;C&gt;1&lt;/C&gt;&lt;D xsi:type="xsd:double"&gt;1239.7&lt;/D&gt;&lt;/FQL&gt;&lt;FQL&gt;&lt;Q&gt;UNM^FE_TIMESERIES(GROSSINCOME,MEAN,0FY,0FY,FY,'BKRACTMED=1,WIN=0,CURRENCY=USD,UNITS=AUTO,DATE=NOW')&lt;/Q&gt;&lt;R&gt;0&lt;/R&gt;&lt;C&gt;0&lt;/C&gt;&lt;/FQL&gt;&lt;FQL&gt;&lt;Q&gt;UNM^FE_TIMESERIES(GROSSINCOME,MEAN,-1FY,-1FY,FY,'BKRACTMED=1,WIN=0,CURRENCY=USD,UNITS=AUTO,DATE=NOW')&lt;/Q&gt;&lt;R&gt;0&lt;/R&gt;&lt;C&gt;0&lt;/C&gt;&lt;/FQL&gt;&lt;FQL&gt;&lt;Q&gt;UNM^FE_TIMESERIES(GROSSINCOME,MEAN,-2FY,-2FY,FY,'BKRACTMED=1,WIN=0,CURRENCY=USD,UNITS=AUTO,DATE=NOW')&lt;/Q&gt;&lt;R&gt;0&lt;/R&gt;&lt;C&gt;0&lt;/C&gt;&lt;/FQL&gt;&lt;FQL&gt;&lt;Q&gt;UNM^FE_TIMESERIES(GROSSINCOME,MEAN,-3FY,-3FY,FY,'BKRACTMED=1,WIN=0,CURRENCY=USD,UNITS=AUTO,DATE=NOW')&lt;/Q&gt;&lt;R&gt;0&lt;/R&gt;&lt;C&gt;0&lt;/C&gt;&lt;/FQL&gt;&lt;FQL&gt;&lt;Q&gt;UNM^FE_TIMESERIES(GROSSINCOME,MEAN,-4FY,-4FY,FY,'BKRACTMED=1,WIN=0,CURRENCY=USD,UNITS=AUTO,DATE=NOW')&lt;/Q&gt;&lt;R&gt;0&lt;/R&gt;&lt;C&gt;0&lt;/C&gt;&lt;/FQL&gt;&lt;FQL&gt;&lt;Q&gt;UNM^FE_TIMESERIES(GROSSINCOME,MEAN,-5FY,-5FY,FY,'BKRACTMED=1,WIN=0,CURRENCY=USD,UNITS=AUTO,DATE=NOW')&lt;/Q&gt;&lt;R&gt;0&lt;/R&gt;&lt;C&gt;0&lt;/C&gt;&lt;/FQL&gt;&lt;FQL&gt;&lt;Q&gt;UNM^FE_TIMESERIES(GROSSINCOME,MEAN,-6FY,-6FY,FY,'BKRACTMED=1,WIN=0,CURRENCY=USD,UNITS=AUTO,DATE=NOW')&lt;/Q&gt;&lt;R&gt;0&lt;/R&gt;&lt;C&gt;0&lt;/C&gt;&lt;/FQL&gt;&lt;FQL&gt;&lt;Q&gt;UNM^FE_TIMESERIES(GROSSINCOME,MEAN,-7FY,-7FY,FY,'BKRACTMED=1,WIN=0,CURRENCY=USD,UNITS=AUTO,DATE=NOW')&lt;/Q&gt;&lt;R&gt;0&lt;/R&gt;&lt;C&gt;0&lt;/C&gt;&lt;/FQL&gt;&lt;FQL&gt;&lt;Q&gt;UNM^FE_TIMESERIES(GROSSINCOME,MEAN,-8FY,-8FY,FY,'BKRACTMED=1,WIN=0,CURRENCY=USD,UNITS=AUTO,DATE=NOW')&lt;/Q&gt;&lt;R&gt;0&lt;/R&gt;&lt;C&gt;0&lt;/C&gt;&lt;/FQL&gt;&lt;FQL&gt;&lt;Q&gt;UNM^FE_TIMESERIES(GROSSINCOME,MEAN,-9FY,-9FY,FY,'BKRACTMED=1,WIN=0,CURRENCY=USD,UNITS=AUTO,DATE=NOW')&lt;/Q&gt;&lt;R&gt;0&lt;/R&gt;&lt;C&gt;0&lt;/C&gt;&lt;/FQL&gt;&lt;FQL&gt;&lt;Q&gt;UNM^FE_TIMESERIES(GROSSINCOME,MEAN,-10FY,-10FY,FY,'BKRACTMED=1,WIN=0,CURRENCY=USD,UNITS=AUTO,DATE=NOW')&lt;/Q&gt;&lt;R&gt;0&lt;/R&gt;&lt;C&gt;0&lt;/C&gt;&lt;/FQL&gt;&lt;FQL&gt;&lt;Q&gt;UNM^FE_TIMESERIES(SALES,MEAN,0FY,0FY,FY,'BKRACTMED=1,WIN=0,CURRENCY=USD,UNITS=AUTO,DATE=NOW')&lt;/Q&gt;&lt;R&gt;1&lt;/R&gt;&lt;C&gt;1&lt;/C&gt;&lt;D xsi:type="xsd:double"&gt;11991&lt;/D&gt;&lt;/FQL&gt;&lt;FQL&gt;&lt;Q&gt;UNM^FE_TIMESERIES(SALES,MEAN,-1FY,-1FY,FY,'BKRACTMED=1,WIN=0,CURRENCY=USD,UNITS=AUTO,DATE=NOW')&lt;/Q&gt;&lt;R&gt;1&lt;/R&gt;&lt;C&gt;1&lt;/C&gt;&lt;D xsi:type="xsd:double"&gt;12013.8&lt;/D&gt;&lt;/FQL&gt;&lt;FQL&gt;&lt;Q&gt;UNM^FE_TIMESERIES(SALES,MEAN,-2FY,-2FY,FY,'BKRACTMED=1,WIN=0,CURRENCY=USD,UNITS=AUTO,DATE=NOW')&lt;/Q&gt;&lt;R&gt;1&lt;/R&gt;&lt;C&gt;1&lt;/C&gt;&lt;D xsi:type="xsd:double"&gt;13162.1&lt;/D&gt;&lt;/FQL&gt;&lt;FQL&gt;&lt;Q&gt;UNM^FE_TIMESERIES(SALES,MEAN,-3FY,-3FY,FY,'BKRACTMED=1,WIN=0,CURRENCY=USD,UNITS=AUTO,DATE=NOW')&lt;/Q&gt;&lt;R&gt;1&lt;/R&gt;&lt;C&gt;1&lt;/C&gt;&lt;D xsi:type="xsd:double"&gt;11998.9&lt;/D&gt;&lt;/FQL&gt;&lt;FQL&gt;&lt;Q&gt;UNM^FE_TIMESERIES(SALES,MEAN,-4FY,-4FY,FY,'BKRACTMED=1,WIN=0,CURRENCY=USD,UNITS=AUTO,DATE=NOW')&lt;/Q&gt;&lt;R&gt;1&lt;/R&gt;&lt;C&gt;1&lt;/C&gt;&lt;D xsi:type="xsd:double"&gt;11598.5&lt;/D&gt;&lt;/FQL&gt;&lt;FQL&gt;&lt;Q&gt;UNM^FE_TIMESERIES(SALES,MEAN,-5FY,-5FY,FY,'BKRACTMED=1,WIN=0,CURRENCY=USD,UNITS=AUTO,DATE=NOW')&lt;/Q&gt;&lt;R&gt;1&lt;/R&gt;&lt;C&gt;1&lt;/C&gt;&lt;D xsi:type="xsd:double"&gt;11286.8&lt;/D&gt;&lt;/FQL&gt;&lt;FQL&gt;&lt;Q&gt;UNM^FE_TIMESERIES(SALES,MEAN,-6FY,-6FY,FY,'BKRACTMED=1,WIN=0,CURRENCY=USD,UNITS=AUTO,DATE=NOW')&lt;/Q&gt;&lt;R&gt;1&lt;/R&gt;&lt;C&gt;1&lt;/C&gt;&lt;D xsi:type="xsd:double"&gt;11046.5&lt;/D&gt;&lt;/FQL&gt;&lt;FQL&gt;&lt;Q&gt;UNM^FE_TIMESERIES(SALES,MEAN,-7FY,-7FY,FY,'BKRACTMED=1,WIN=0,CURRENCY=USD,UNITS=AUTO,DATE=NOW')&lt;/Q&gt;&lt;R&gt;1&lt;/R&gt;&lt;C&gt;1&lt;/C&gt;&lt;D xsi:type="xsd:double"&gt;10731.3&lt;/D&gt;&lt;/FQL&gt;&lt;FQL&gt;&lt;Q&gt;UNM^FE_TIMESERIES(SALES,MEAN,-8FY,-8FY,FY,'BKRACTMED=1,WIN=0,CURRENCY=USD,UNITS=AUTO,DATE=NOW')&lt;/Q&gt;&lt;R&gt;1&lt;/R&gt;&lt;C&gt;1&lt;/C&gt;&lt;D xsi:type="xsd:double"&gt;10509.7&lt;/D&gt;&lt;/FQL&gt;&lt;FQL&gt;&lt;Q&gt;UNM^FE_TIMESERIES(SALES,MEAN,-9FY,-9FY,FY,'BKRACTMED=1,WIN=0,CURRENCY=USD,UNITS=AUTO,DATE=NOW')&lt;/Q&gt;&lt;R&gt;1&lt;/R&gt;&lt;C&gt;1&lt;/C&gt;&lt;D xsi:type="xsd:double"&gt;10353.8&lt;/D&gt;&lt;/FQL&gt;&lt;FQL&gt;&lt;Q&gt;UNM^FE_TIMESERIES(SALES,MEAN,-10FY,-10FY,FY,'BKRACTMED=1,WIN=0,CURRENCY=USD,UNITS=AUTO,DATE=NOW')&lt;/Q&gt;&lt;R&gt;1&lt;/R&gt;&lt;C&gt;1&lt;/C&gt;&lt;D xsi:type="xsd:double"&gt;10515.4&lt;/D&gt;&lt;/FQL&gt;&lt;FQL&gt;&lt;Q&gt;UNM^CONVERT_DATE(FF_FISCAL_DATE(ANN_R,0FY,0FY,,,"","DATEJ"),"MM/YYYY")&lt;/Q&gt;&lt;R&gt;1&lt;/R&gt;&lt;C&gt;1&lt;/C&gt;&lt;D xsi:type="xsd:string"&gt;12/2022&lt;/D&gt;&lt;/FQL&gt;&lt;FQL&gt;&lt;Q&gt;UNM^CONVERT_DATE(FF_FISCAL_DATE(ANN_R,-1FY,-1FY,,,"","DATEJ"),"MM/YYYY")&lt;/Q&gt;&lt;R&gt;1&lt;/R&gt;&lt;C&gt;1&lt;/C&gt;&lt;D xsi:type="xsd:string"&gt;12/2021&lt;/D&gt;&lt;/FQL&gt;&lt;FQL&gt;&lt;Q&gt;UNM^CONVERT_DATE(FF_FISCAL_DATE(ANN_R,-2FY,-2FY,,,"","DATEJ"),"MM/YYYY")&lt;/Q&gt;&lt;R&gt;1&lt;/R&gt;&lt;C&gt;1&lt;/C&gt;&lt;D xsi:type="xsd:string"&gt;12/2020&lt;/D&gt;&lt;/FQL&gt;&lt;FQL&gt;&lt;Q&gt;UNM^</t>
        </r>
      </text>
    </comment>
    <comment ref="A2" authorId="0" shapeId="0" xr:uid="{A66343B9-6567-4D3C-8979-265DACBBB7CA}">
      <text>
        <r>
          <rPr>
            <b/>
            <sz val="9"/>
            <color indexed="81"/>
            <rFont val="Tahoma"/>
            <family val="2"/>
          </rPr>
          <t>CONVERT_DATE(FF_FISCAL_DATE(ANN_R,-3FY,-3FY,,,"","DATEJ"),"MM/YYYY")&lt;/Q&gt;&lt;R&gt;1&lt;/R&gt;&lt;C&gt;1&lt;/C&gt;&lt;D xsi:type="xsd:string"&gt;12/2019&lt;/D&gt;&lt;/FQL&gt;&lt;FQL&gt;&lt;Q&gt;UNM^CONVERT_DATE(FF_FISCAL_DATE(ANN_R,-4FY,-4FY,,,"","DATEJ"),"MM/YYYY")&lt;/Q&gt;&lt;R&gt;1&lt;/R&gt;&lt;C&gt;1&lt;/C&gt;&lt;D xsi:type="xsd:string"&gt;12/2018&lt;/D&gt;&lt;/FQL&gt;&lt;FQL&gt;&lt;Q&gt;UNM^CONVERT_DATE(FF_FISCAL_DATE(ANN_R,-5FY,-5FY,,,"","DATEJ"),"MM/YYYY")&lt;/Q&gt;&lt;R&gt;1&lt;/R&gt;&lt;C&gt;1&lt;/C&gt;&lt;D xsi:type="xsd:string"&gt;12/2017&lt;/D&gt;&lt;/FQL&gt;&lt;FQL&gt;&lt;Q&gt;UNM^CONVERT_DATE(FF_FISCAL_DATE(ANN_R,-6FY,-6FY,,,"","DATEJ"),"MM/YYYY")&lt;/Q&gt;&lt;R&gt;1&lt;/R&gt;&lt;C&gt;1&lt;/C&gt;&lt;D xsi:type="xsd:string"&gt;12/2016&lt;/D&gt;&lt;/FQL&gt;&lt;FQL&gt;&lt;Q&gt;UNM^CONVERT_DATE(FF_FISCAL_DATE(ANN_R,-7FY,-7FY,,,"","DATEJ"),"MM/YYYY")&lt;/Q&gt;&lt;R&gt;1&lt;/R&gt;&lt;C&gt;1&lt;/C&gt;&lt;D xsi:type="xsd:string"&gt;12/2015&lt;/D&gt;&lt;/FQL&gt;&lt;FQL&gt;&lt;Q&gt;UNM^CONVERT_DATE(FF_FISCAL_DATE(ANN_R,-8FY,-8FY,,,"","DATEJ"),"MM/YYYY")&lt;/Q&gt;&lt;R&gt;1&lt;/R&gt;&lt;C&gt;1&lt;/C&gt;&lt;D xsi:type="xsd:string"&gt;12/2014&lt;/D&gt;&lt;/FQL&gt;&lt;FQL&gt;&lt;Q&gt;UNM^CONVERT_DATE(FF_FISCAL_DATE(ANN_R,-9FY,-9FY,,,"","DATEJ"),"MM/YYYY")&lt;/Q&gt;&lt;R&gt;1&lt;/R&gt;&lt;C&gt;1&lt;/C&gt;&lt;D xsi:type="xsd:string"&gt;12/2013&lt;/D&gt;&lt;/FQL&gt;&lt;FQL&gt;&lt;Q&gt;UNM^CONVERT_DATE(FF_FISCAL_DATE(ANN_R,-10FY,-10FY,,,"","DATEJ"),"MM/YYYY")&lt;/Q&gt;&lt;R&gt;1&lt;/R&gt;&lt;C&gt;1&lt;/C&gt;&lt;D xsi:type="xsd:string"&gt;12/2012&lt;/D&gt;&lt;/FQL&gt;&lt;FQL&gt;&lt;Q&gt;UNM^FE_TIMESERIES(TOTALDEBT,MEAN,0FY,0FY,FY,'BKRACTMED=1,WIN=0,CURRENCY=USD,UNITS=AUTO,DATE=NOW')&lt;/Q&gt;&lt;R&gt;0&lt;/R&gt;&lt;C&gt;0&lt;/C&gt;&lt;/FQL&gt;&lt;FQL&gt;&lt;Q&gt;UNM^FE_TIMESERIES(TOTALDEBT,MEAN,-1FY,-1FY,FY,'BKRACTMED=1,WIN=0,CURRENCY=USD,UNITS=AUTO,DATE=NOW')&lt;/Q&gt;&lt;R&gt;0&lt;/R&gt;&lt;C&gt;0&lt;/C&gt;&lt;/FQL&gt;&lt;FQL&gt;&lt;Q&gt;UNM^FE_TIMESERIES(TOTALDEBT,MEAN,-2FY,-2FY,FY,'BKRACTMED=1,WIN=0,CURRENCY=USD,UNITS=AUTO,DATE=NOW')&lt;/Q&gt;&lt;R&gt;0&lt;/R&gt;&lt;C&gt;0&lt;/C&gt;&lt;/FQL&gt;&lt;FQL&gt;&lt;Q&gt;UNM^FE_TIMESERIES(TOTALDEBT,MEAN,-3FY,-3FY,FY,'BKRACTMED=1,WIN=0,CURRENCY=USD,UNITS=AUTO,DATE=NOW')&lt;/Q&gt;&lt;R&gt;0&lt;/R&gt;&lt;C&gt;0&lt;/C&gt;&lt;/FQL&gt;&lt;FQL&gt;&lt;Q&gt;UNM^FE_TIMESERIES(TOTALDEBT,MEAN,-4FY,-4FY,FY,'BKRACTMED=1,WIN=0,CURRENCY=USD,UNITS=AUTO,DATE=NOW')&lt;/Q&gt;&lt;R&gt;0&lt;/R&gt;&lt;C&gt;0&lt;/C&gt;&lt;/FQL&gt;&lt;FQL&gt;&lt;Q&gt;UNM^FE_TIMESERIES(TOTALDEBT,MEAN,-5FY,-5FY,FY,'BKRACTMED=1,WIN=0,CURRENCY=USD,UNITS=AUTO,DATE=NOW')&lt;/Q&gt;&lt;R&gt;0&lt;/R&gt;&lt;C&gt;0&lt;/C&gt;&lt;/FQL&gt;&lt;FQL&gt;&lt;Q&gt;UNM^FE_TIMESERIES(TOTALDEBT,MEAN,-6FY,-6FY,FY,'BKRACTMED=1,WIN=0,CURRENCY=USD,UNITS=AUTO,DATE=NOW')&lt;/Q&gt;&lt;R&gt;1&lt;/R&gt;&lt;C&gt;1&lt;/C&gt;&lt;D xsi:type="xsd:double"&gt;2999&lt;/D&gt;&lt;/FQL&gt;&lt;FQL&gt;&lt;Q&gt;UNM^FE_TIMESERIES(TOTALDEBT,MEAN,-7FY,-7FY,FY,'BKRACTMED=1,WIN=0,CURRENCY=USD,UNITS=AUTO,DATE=NOW')&lt;/Q&gt;&lt;R&gt;1&lt;/R&gt;&lt;C&gt;1&lt;/C&gt;&lt;D xsi:type="xsd:double"&gt;2827.5&lt;/D&gt;&lt;/FQL&gt;&lt;FQL&gt;&lt;Q&gt;UNM^FE_TIMESERIES(TOTALDEBT,MEAN,-8FY,-8FY,FY,'BKRACTMED=1,WIN=0,CURRENCY=USD,UNITS=AUTO,DATE=NOW')&lt;/Q&gt;&lt;R&gt;1&lt;/R&gt;&lt;C&gt;1&lt;/C&gt;&lt;D xsi:type="xsd:double"&gt;2505.45&lt;/D&gt;&lt;/FQL&gt;&lt;FQL&gt;&lt;Q&gt;UNM^FE_TIMESERIES(TOTALDEBT,MEAN,-9FY,-9FY,FY,'BKRACTMED=1,WIN=0,CURRENCY=USD,UNITS=AUTO,DATE=NOW')&lt;/Q&gt;&lt;R&gt;1&lt;/R&gt;&lt;C&gt;1&lt;/C&gt;&lt;D xsi:type="xsd:double"&gt;2430.25&lt;/D&gt;&lt;/FQL&gt;&lt;FQL&gt;&lt;Q&gt;UNM^FE_TIMESERIES(TOTALDEBT,MEAN,-10FY,-10FY,FY,'BKRACTMED=1,WIN=0,CURRENCY=USD,UNITS=AUTO,DATE=NOW')&lt;/Q&gt;&lt;R&gt;1&lt;/R&gt;&lt;C&gt;1&lt;/C&gt;&lt;D xsi:type="xsd:double"&gt;2882.5&lt;/D&gt;&lt;/FQL&gt;&lt;FQL&gt;&lt;Q&gt;UNM^FE_TIMESERIES(DEBT_LT,MEAN,0FY,0FY,FY,'BKRACTMED=1,WIN=0,CURRENCY=USD,UNITS=AUTO,DATE=NOW')&lt;/Q&gt;&lt;R&gt;0&lt;/R&gt;&lt;C&gt;0&lt;/C&gt;&lt;/FQL&gt;&lt;FQL&gt;&lt;Q&gt;UNM^FE_TIMESERIES(DEBT_LT,MEAN,-1FY,-1FY,FY,'BKRACTMED=1,WIN=0,CURRENCY=USD,UNITS=AUTO,DATE=NOW')&lt;/Q&gt;&lt;R&gt;0&lt;/R&gt;&lt;C&gt;0&lt;/C&gt;&lt;/FQL&gt;&lt;FQL&gt;&lt;Q&gt;UNM^FE_TIMESERIES(DEBT_LT,MEAN,-2FY,-2FY,FY,'BKRACTMED=1,WIN=0,CURRENCY=USD,UNITS=AUTO,DATE=NOW')&lt;/Q&gt;&lt;R&gt;0&lt;/R&gt;&lt;C&gt;0&lt;/C&gt;&lt;/FQL&gt;&lt;FQL&gt;&lt;Q&gt;UNM^FE_TIMESERIES(DEBT_LT,MEAN,-3FY,-3FY,FY,'BKRACTMED=1,WIN=0,CURRENCY=USD,UNITS=AUTO,DATE=NOW')&lt;/Q&gt;&lt;R&gt;0&lt;/R&gt;&lt;C&gt;0&lt;/C&gt;&lt;/FQL&gt;&lt;FQL&gt;&lt;Q&gt;UNM^FE_TIMESERIES(DEBT_LT,MEAN,-4FY,-4FY,FY,'BKRACTMED=1,WIN=0,CURRENCY=USD,UNITS=AUTO,DATE=NOW')&lt;/Q&gt;&lt;R&gt;0&lt;/R&gt;&lt;C&gt;0&lt;/C&gt;&lt;/FQL&gt;&lt;FQL&gt;&lt;Q&gt;UNM^FE_TIMESERIES(DEBT_LT,MEAN,-5FY,-5FY,FY,'BKRACTMED=1,WIN=0,CURRENCY=USD,UNITS=AUTO,DATE=NOW')&lt;/Q&gt;&lt;R&gt;0&lt;/R&gt;&lt;C&gt;0&lt;/C&gt;&lt;/FQL&gt;&lt;FQL&gt;&lt;Q&gt;UNM^FE_TIMESERIES(DEBT_LT,MEAN,-6FY,-6FY,FY,'BKRACTMED=1,WIN=0,CURRENCY=USD,UNITS=AUTO,DATE=NOW')&lt;/Q&gt;&lt;R&gt;0&lt;/R&gt;&lt;C&gt;0&lt;/C&gt;&lt;/FQL&gt;&lt;FQL&gt;&lt;Q&gt;UNM^FE_TIMESERIES(DEBT_LT,MEAN,-7FY,-7FY,FY,'BKRACTMED=1,WIN=0,CURRENCY=USD,UNITS=AUTO,DATE=NOW')&lt;/Q&gt;&lt;R&gt;0&lt;/R&gt;&lt;C&gt;0&lt;/C&gt;&lt;/FQL&gt;&lt;FQL&gt;&lt;Q&gt;UNM^FE_TIMESERIES(DEBT_LT,MEAN,-8FY,-8FY,FY,'BKRACTMED=1,WIN=0,CURRENCY=USD,UNITS=AUTO,DATE=NOW')&lt;/Q&gt;&lt;R&gt;0&lt;/R&gt;&lt;C&gt;0&lt;/C&gt;&lt;/FQL&gt;&lt;FQL&gt;&lt;Q&gt;UNM^FE_TIMESERIES(DEBT_LT,MEAN,-9FY,-9FY,FY,'BKRACTMED=1,WIN=0,CURRENCY=USD,UNITS=AUTO,DATE=NOW')&lt;/Q&gt;&lt;R&gt;0&lt;/R&gt;&lt;C&gt;0&lt;/C&gt;&lt;/FQL&gt;&lt;FQL&gt;&lt;Q&gt;UNM^FE_TIMESERIES(DEBT_LT,MEAN,-10FY,-10FY,FY,'BKRACTMED=1,WIN=0,CURRENCY=USD,UNITS=AUTO,DATE=NOW')&lt;/Q&gt;&lt;R&gt;0&lt;/R&gt;&lt;C&gt;0&lt;/C&gt;&lt;/FQL&gt;&lt;FQL&gt;&lt;Q&gt;UNM^FE_TIMESERIES(DEBT_ST,MEAN,0FY,0FY,FY,'BKRACTMED=1,WIN=0,CURRENCY=USD,UNITS=AUTO,DATE=NOW')&lt;/Q&gt;&lt;R&gt;0&lt;/R&gt;&lt;C&gt;0&lt;/C&gt;&lt;/FQL&gt;&lt;FQL&gt;&lt;Q&gt;UNM^FE_TIMESERIES(DEBT_ST,MEAN,-1FY,-1FY,FY,'BKRACTMED=1,WIN=0,CURRENCY=USD,UNITS=AUTO,DATE=NOW')&lt;/Q&gt;&lt;R&gt;0&lt;/R&gt;&lt;C&gt;0&lt;/C&gt;&lt;/FQL&gt;&lt;FQL&gt;&lt;Q&gt;UNM^FE_TIMESERIES(DEBT_ST,MEAN,-2FY,-2FY,FY,'BKRACTMED=1,WIN=0,CURRENCY=USD,UNITS=AUTO,DATE=NOW')&lt;/Q&gt;&lt;R&gt;0&lt;/R&gt;&lt;C&gt;0&lt;/C&gt;&lt;/FQL&gt;&lt;FQL&gt;&lt;Q&gt;UNM^FE_TIMESERIES(DEBT_ST,MEAN,-3FY,-3FY,FY,'BKRACTMED=1,WIN=0,CURRENCY=USD,UNITS=AUTO,DATE=NOW')&lt;/Q&gt;&lt;R&gt;0&lt;/R&gt;&lt;C&gt;0&lt;/C&gt;&lt;/FQL&gt;&lt;FQL&gt;&lt;Q&gt;UNM^FE_TIMESERIES(DEBT_ST,MEAN,-4FY,-4FY,FY,'BKRACTMED=1,WIN=0,CURRENCY=USD,UNITS=AUTO,DATE=NOW')&lt;/Q&gt;&lt;R&gt;0&lt;/R&gt;&lt;C&gt;0&lt;/C&gt;&lt;/FQL&gt;&lt;FQL&gt;&lt;Q&gt;UNM^FE_TIMESERIES(DEBT_ST,MEAN,-5FY,-5FY,FY,'BKRACTMED=1,WIN=0,CURRENCY=USD,UNITS=AUTO,DATE=NOW')&lt;/Q&gt;&lt;R&gt;0&lt;/R&gt;&lt;C&gt;0&lt;/C&gt;&lt;/FQL&gt;&lt;FQL&gt;&lt;Q&gt;UNM^FE_TIMESERIES(DEBT_ST,MEAN,-6FY,-6FY,FY,'BKRACTMED=1,WIN=0,CURRENCY=USD,UNITS=AUTO,DATE=NOW')&lt;/Q&gt;&lt;R&gt;0&lt;/R&gt;&lt;C&gt;0&lt;/C&gt;&lt;/FQL&gt;&lt;FQL&gt;&lt;Q&gt;UNM^FE_TIMESERIES(DEBT_ST,MEAN,-7FY,-7FY,FY,'BKRACTMED=1,WIN=0,CURRENCY=USD,UNITS=AUTO,DATE=NOW')&lt;/Q&gt;&lt;R&gt;0&lt;/R&gt;&lt;C&gt;0&lt;/C&gt;&lt;/FQL&gt;&lt;FQL&gt;&lt;Q&gt;UNM^FE_TIMESERIES(DEBT_ST,MEAN,-8FY,-8FY,FY,'BKRACTMED=1,WIN=0,CURRENCY=USD,UNITS=AUTO,DATE=NOW')&lt;/Q&gt;&lt;R&gt;0&lt;/R&gt;&lt;C&gt;0&lt;/C&gt;&lt;/FQL&gt;&lt;FQL&gt;&lt;Q&gt;UNM^FE_TIMESERIES(DEBT_ST,MEAN,-9FY,-9FY,FY,'BKRACTMED=1,WIN=0,CURRENCY=USD,UNITS=AUTO,DATE=NOW')&lt;/Q&gt;&lt;R&gt;0&lt;/R&gt;&lt;C&gt;0&lt;/C&gt;&lt;/FQL&gt;&lt;FQL&gt;&lt;Q&gt;UNM^FE_TIMESERIES(DEBT_ST,MEAN,-10FY,-10FY,FY,'BKRACTMED=1,WIN=0,CURRENCY=USD,UNITS=AUTO,DATE=NOW')&lt;/Q&gt;&lt;R&gt;0&lt;/R&gt;&lt;C&gt;0&lt;/C&gt;&lt;/FQL&gt;&lt;FQL&gt;&lt;Q&gt;UNM^FE_TIMESERIES(CURRENTLIABILITIES,MEAN,0FY,0FY,FY,'BKRACTMED=1,WIN=0,CURRENCY=USD,UNITS=AUTO,DATE=NOW')&lt;/Q&gt;&lt;R&gt;0&lt;/R&gt;&lt;C&gt;0&lt;/C&gt;&lt;/FQL&gt;&lt;FQL&gt;&lt;Q&gt;UNM^FE_TIMESERIES(CURRENTLIABILITIES,MEAN,-1FY,-1FY,FY,'BKRACTMED=1,WIN=0,CURRENCY=USD,UNITS=AUTO,DATE=NOW')&lt;/Q&gt;&lt;R&gt;0&lt;/R&gt;&lt;C&gt;0&lt;/C&gt;&lt;/FQL&gt;&lt;FQL&gt;&lt;Q&gt;UNM^FE_TIMESERIES(CURRENTLIABILITIES,MEAN,-2FY,-2FY,FY,'BKRACTMED=1,WIN=0,CURRENCY=USD,UNITS=AUTO,DATE=NOW')&lt;/Q&gt;&lt;R&gt;0&lt;/R&gt;&lt;C&gt;0&lt;/C&gt;&lt;/FQL&gt;&lt;FQL&gt;&lt;Q&gt;UNM^FE_TIMESERIES(CURRENTLIABILITIES,MEAN,-3FY,-3FY,FY,'BKRACTMED=1,WIN=0,CURRENCY=USD,UNITS=AUTO,DATE=NOW')&lt;/Q&gt;&lt;R&gt;0&lt;/R&gt;&lt;C&gt;0&lt;/C&gt;&lt;/FQL&gt;&lt;FQL&gt;&lt;Q&gt;UNM^FE_TIMESERIES(CURRENTLIABILITIES,MEAN,-4FY,-4FY,FY,'BKRACTMED=1,WIN=0,CURRENCY=USD,UNITS=AUTO,DATE=NOW')&lt;/Q&gt;&lt;R&gt;0&lt;/R&gt;&lt;C&gt;0&lt;/C&gt;&lt;/FQL&gt;&lt;FQL&gt;&lt;Q&gt;UNM^FE_TIMESERIES(CURRENTLIABILITIES,MEAN,-5FY,-5FY,FY,'BKRACTMED=1,WIN=0,CURRENCY=USD,UNITS=AUTO,DATE=NOW')&lt;/Q&gt;&lt;R&gt;0&lt;/R&gt;&lt;C&gt;0&lt;/C&gt;&lt;/FQL&gt;&lt;FQL&gt;&lt;Q&gt;UNM^FE_TIMESERIES(CURRENTLIABILITIES,MEAN,-6FY,-6FY,FY,'BKRACTMED=1,WIN=0,CURRENCY=USD,UNITS=AUTO,DATE=NOW')&lt;/Q&gt;&lt;R&gt;0&lt;/R&gt;&lt;C&gt;0&lt;/C&gt;&lt;/FQL&gt;&lt;FQL&gt;&lt;Q&gt;UNM^FE_TIMESERIES(CURRENTLIABILITIES,MEAN,-7FY,-7FY,FY,'BKRACTMED=1,WIN=0,CURRENCY=USD,UNITS=AUTO,DATE=NOW')&lt;/Q&gt;&lt;R&gt;0&lt;/R&gt;&lt;C&gt;0&lt;/C&gt;&lt;/FQL&gt;&lt;FQL&gt;&lt;Q&gt;UNM^FE_TIMESERIES(CURRENTLIABILITIES,MEAN,-8FY,-8FY,FY,'BKRACTMED=1,WIN=0,CURRENCY=USD,UNITS=AUTO,DATE=NOW')&lt;/Q&gt;&lt;R&gt;0&lt;/R&gt;&lt;C&gt;0&lt;/C&gt;&lt;/FQL&gt;&lt;FQL&gt;&lt;Q&gt;UNM^FE_TIMESERIES(CURRENTLIABILITIES,MEAN,-9FY,-9FY,FY,'BKRACTMED=1,WIN=0,CURRENCY=USD,UNITS=AUTO,DATE=NOW')&lt;/Q&gt;&lt;R&gt;0&lt;/R&gt;&lt;C&gt;0&lt;/C&gt;&lt;/FQL&gt;&lt;FQL&gt;&lt;Q&gt;UNM^FE_TIMESERIES(CURRENTLIABILITIES,MEAN,-10FY,-10FY,FY,'BKRACTMED=1,WIN=0,CURRENCY=USD,UNITS=AUTO,DATE=NOW')&lt;/Q&gt;&lt;R&gt;0&lt;/R&gt;&lt;C&gt;0&lt;/C&gt;&lt;/FQL&gt;&lt;FQL&gt;&lt;Q&gt;UNM^FE_TIMESERIES(PAY_ACCT,MEAN,0FY,0FY,FY,'BKRACTMED=1,WIN=0,CURRENCY=USD,UNITS=AUTO,DATE=NOW')&lt;/Q&gt;&lt;R&gt;0&lt;/R&gt;&lt;C&gt;0&lt;/C&gt;&lt;/FQL&gt;&lt;FQL&gt;&lt;Q&gt;UNM^FE_TIMESERIES(PAY_ACCT,MEAN,-1FY,-1FY,FY,'BKRACTMED=1,WIN=0,CURRENCY=USD,UNITS=AUTO,DATE=NOW')&lt;/Q&gt;&lt;R&gt;0&lt;/R&gt;&lt;C&gt;0&lt;/C&gt;&lt;/FQL&gt;&lt;FQL&gt;&lt;Q&gt;UNM^FE_TIMESERIES(PAY_ACCT,MEAN,-2FY,-2FY,FY,'BKRACTMED=1,WIN=0,CURRENCY=USD,UNITS=AUTO,DATE=NOW')&lt;/Q&gt;&lt;R&gt;0&lt;/R&gt;&lt;C&gt;0&lt;/C&gt;&lt;/FQL&gt;&lt;FQL&gt;&lt;Q&gt;UNM^FE_TIMESERIES(PAY_ACCT,MEAN,-3FY,-3FY,FY,'BKRACTMED=1,WIN=0,CURRENCY=USD,UNITS=AUTO,DATE=NOW')&lt;/Q&gt;&lt;R&gt;0&lt;/R&gt;&lt;C&gt;0&lt;/C&gt;&lt;/FQL&gt;&lt;FQL&gt;&lt;Q&gt;UNM^FE_TIMESERIES(PAY_ACCT,MEAN,-4FY,-4FY,FY,'BKRACTMED=1,WIN=0,CURRENCY=USD,UNITS=AUTO,DATE=NOW')&lt;/Q&gt;&lt;R&gt;0&lt;/R&gt;&lt;C&gt;0&lt;/C&gt;&lt;/FQL&gt;&lt;FQL&gt;&lt;Q&gt;UNM^FE_TIMESERIES(PAY_ACCT,MEAN,-5FY,-5FY,FY,'BKRACTMED=1,WIN=0,CURRENCY=USD,UNITS=AUTO,DATE=NOW')&lt;/Q&gt;&lt;R&gt;0&lt;/R&gt;&lt;C&gt;0&lt;/C&gt;&lt;/FQL&gt;&lt;FQL&gt;&lt;Q&gt;UNM^FE_TIMESERIES(PAY_ACCT,MEAN,-6FY,-6FY,FY,'BKRACTMED=1,WIN=0,CURRENCY=USD,UNITS=AUTO,DATE=NOW')&lt;/Q&gt;&lt;R&gt;0&lt;/R&gt;&lt;C&gt;0&lt;/C&gt;&lt;/FQL&gt;&lt;FQL&gt;&lt;Q&gt;UNM^FE_TIMESERIES(PAY_ACCT,MEAN,-7FY,-7FY,FY,'BKRACTMED=1,WIN=0,CURRENCY=USD,UNITS=AUTO,DATE=NOW')&lt;/Q&gt;&lt;R&gt;0&lt;/R&gt;&lt;C&gt;0&lt;/C&gt;&lt;/FQL&gt;&lt;FQL&gt;&lt;Q&gt;UNM^FE_TIMESERIES(PAY_ACCT,MEAN,-8FY,-8FY,FY,'BKRACTMED=1,WIN=0,CURRENCY=USD,UNITS=AUTO,DATE=NOW')&lt;/Q&gt;&lt;R&gt;0&lt;/R&gt;&lt;C&gt;0&lt;/C&gt;&lt;/FQL&gt;&lt;FQL&gt;&lt;Q&gt;UNM^FE_TIMESERIES(PAY_ACCT,MEAN,-9FY,-9FY,FY,'BKRACTMED=1,WIN=0,CURRENCY=USD,UNITS=AUTO,DATE=NOW')&lt;/Q&gt;&lt;R&gt;0&lt;/R&gt;&lt;C&gt;0&lt;/C&gt;&lt;/FQL&gt;&lt;FQL&gt;&lt;Q&gt;UNM^FE_TIMESERIES(PAY_ACCT,MEAN,-10FY,-10FY,FY,'BKRACTMED=1,WIN=0,CURRENCY=USD,UNITS=AUTO,DATE=NOW')&lt;/Q&gt;&lt;R&gt;0&lt;/R&gt;&lt;C&gt;0&lt;/C&gt;&lt;/FQL&gt;&lt;FQL&gt;&lt;Q&gt;HCI^P_PRICE(0)&lt;/Q&gt;&lt;R&gt;1&lt;/R&gt;&lt;C&gt;1&lt;/C&gt;&lt;D xsi:type="xsd:double"&gt;87.41&lt;/D&gt;&lt;/FQL&gt;&lt;FQL&gt;&lt;Q&gt;UNM^FE_ESTIMATE(EPS,MEAN,STMA,,NOW,,,'')&lt;/Q&gt;&lt;R&gt;1&lt;/R&gt;&lt;C&gt;1&lt;/C&gt;&lt;D xsi:type="xsd:double"&gt;8.475111&lt;/D&gt;&lt;/FQL&gt;&lt;FQL&gt;&lt;Q&gt;HCI^FE_ESTIMATE(EPS,MEAN,STMA,,NOW,,,'')&lt;/Q&gt;&lt;R&gt;1&lt;/R&gt;&lt;C&gt;1&lt;/C&gt;&lt;D xsi:type="xsd:double"&gt;5.613629&lt;/D&gt;&lt;/FQL&gt;&lt;FQL&gt;&lt;Q&gt;HCI^FE_ESTIMATE(EPS,MEAN,NTMA,,NOW,,,'')&lt;/Q&gt;&lt;R&gt;1&lt;/R&gt;&lt;C&gt;1&lt;/C&gt;&lt;D xsi:type="xsd:double"&gt;6.7611356&lt;/D&gt;&lt;/FQL&gt;&lt;FQL&gt;&lt;Q&gt;SP50^FG_PE_NTM(0,,,90,0)&lt;/Q&gt;&lt;R&gt;1&lt;/R&gt;&lt;C&gt;1&lt;/C&gt;&lt;D xsi:type="xsd:double"&gt;18.8519610623344&lt;/D&gt;&lt;/FQL&gt;&lt;FQL&gt;&lt;Q&gt;HCI-US^FE_ESTIMATE(EPS,MEAN,NTMA,,NOW,,,'')&lt;/Q&gt;&lt;R&gt;1&lt;/R&gt;&lt;C&gt;1&lt;/C&gt;&lt;D xsi:type="xsd:double"&gt;6.7611356&lt;/D&gt;&lt;/FQL&gt;&lt;FQL&gt;&lt;Q&gt;UNM^P_PRICE(0)&lt;/Q&gt;&lt;R&gt;1&lt;/R&gt;&lt;C&gt;1&lt;/C&gt;&lt;D xsi:type="xsd:double"&gt;43.17&lt;/D&gt;&lt;/FQL&gt;&lt;FQL&gt;&lt;Q&gt;HCI^FG_COMPANY_NAME&lt;/Q&gt;&lt;R&gt;1&lt;/R&gt;&lt;C&gt;1&lt;/C&gt;&lt;D xsi:type="xsd:string"&gt;HCI Group, Inc.&lt;/D&gt;&lt;/FQL&gt;&lt;FQL&gt;&lt;Q&gt;UNM^FE_ESTIMATE(SALES,MEAN,ANN_ROLL,+2,NOW,,,'')&lt;/Q&gt;&lt;R&gt;1&lt;/R&gt;&lt;C&gt;1&lt;/C&gt;&lt;D xsi:type="xsd:double"&gt;12847.194&lt;/D&gt;&lt;/FQL&gt;&lt;FQL&gt;&lt;Q&gt;UNM^FF_PRICE_LOW_52WK&lt;/Q&gt;&lt;R&gt;1&lt;/R&gt;&lt;C&gt;1&lt;/C&gt;&lt;D xsi:type="xsd:double"&gt;36.27&lt;/D&gt;&lt;/FQL&gt;&lt;FQL&gt;&lt;Q&gt;UNM^FE_ESTIMATE(EPS,MEAN,NTMA,,NOW,,,'')&lt;/Q&gt;&lt;R&gt;1&lt;/R&gt;&lt;C&gt;1&lt;/C&gt;&lt;D xsi:type="xsd:double"&gt;7.8180456&lt;/D&gt;&lt;/FQL&gt;&lt;FQL&gt;&lt;Q&gt;UNM^FREF_MARKET_VALUE_COMPANY(0,,,,,0,,"LEGACY")&lt;/Q&gt;&lt;R&gt;1&lt;/R&gt;&lt;C&gt;1&lt;/C&gt;&lt;D xsi:type="xsd:double"&gt;8420.11988013494&lt;/D&gt;&lt;/FQL&gt;&lt;FQL&gt;&lt;Q&gt;UNM^OS_SEC_SI_PCTFLT(0D)&lt;/Q&gt;&lt;R&gt;1&lt;/R&gt;&lt;C&gt;1&lt;/C&gt;&lt;D xsi:type="xsd:double"&gt;1.35352999263646&lt;/D&gt;&lt;/FQL&gt;&lt;FQL&gt;&lt;Q&gt;UNM^FE_ESTIMATE(SALES,MEAN,ANN_ROLL,+1,NOW,,,'')&lt;/Q&gt;&lt;R&gt;1&lt;/R&gt;&lt;C&gt;1&lt;/C&gt;&lt;D xsi:type="xsd:double"&gt;12400.306&lt;/D&gt;&lt;/FQL&gt;&lt;FQL&gt;&lt;Q&gt;UNM^P_DIV_YLD&lt;/Q&gt;&lt;R&gt;1&lt;/R&gt;&lt;C&gt;1&lt;/C&gt;&lt;D xsi:type="xsd:double"&gt;3.3819783&lt;/D&gt;&lt;/FQL&gt;&lt;FQL&gt;&lt;Q&gt;UNM^FF_INSID_PCT_CURR&lt;/Q&gt;&lt;R&gt;1&lt;/R&gt;&lt;C&gt;1&lt;/C&gt;&lt;D xsi:type="xsd:double"&gt;0.007914&lt;/D&gt;&lt;/FQL&gt;&lt;FQL&gt;&lt;Q&gt;UNM^FF_PRICE_HIGH_52WK&lt;/Q&gt;&lt;R&gt;1&lt;/R&gt;&lt;C&gt;1&lt;/C&gt;&lt;D xsi:type="xsd:double"&gt;52.15&lt;/D&gt;&lt;/FQL&gt;&lt;FQL&gt;&lt;Q&gt;UNM^FF_ENTRPR_VAL_DAILY(0,,,,,"DIL")&lt;/Q&gt;&lt;R&gt;1&lt;/R&gt;&lt;C&gt;1&lt;/C&gt;&lt;D xsi:type="xsd:double"&gt;11776.079806&lt;/D&gt;&lt;/FQL&gt;&lt;FQL&gt;&lt;Q&gt;UNM^FF_ROIC(ANN_R,0)&lt;/Q&gt;&lt;R&gt;1&lt;/R&gt;&lt;C&gt;1&lt;/C&gt;&lt;D xsi:type="xsd:double"&gt;9.52539719355213&lt;/D&gt;&lt;/FQL&gt;&lt;FQL&gt;&lt;Q&gt;UNM^FF_ROE(ANN_R,0)&lt;/Q&gt;&lt;R&gt;1&lt;/R&gt;&lt;C&gt;1&lt;/C&gt;&lt;D xsi:type="xsd:double"&gt;12.7506197274654&lt;/D&gt;&lt;/FQL&gt;&lt;FQL&gt;&lt;Q&gt;UNM^FF_ROA(ANN_R,0)&lt;/Q&gt;&lt;R&gt;1&lt;/R&gt;&lt;C&gt;1&lt;/C&gt;&lt;D xsi:type="xsd:double"&gt;2.38013307881497&lt;/D&gt;&lt;/FQL&gt;&lt;FQL&gt;&lt;Q&gt;UNM^FF_FREE_CF(LTM_R,0,,,,LOCAL)@FF_FREE_CF(LTM_SEMI_R,0,,,,LOCAL)&lt;/Q&gt;&lt;R&gt;1&lt;/R&gt;&lt;C&gt;1&lt;/C&gt;&lt;D xsi:type="xsd:double"&gt;824.2&lt;/D&gt;&lt;/FQL&gt;&lt;FQL&gt;&lt;Q&gt;UNM^FF_CHG_CASH_CF(LTM_R,0,,,,LOCAL)@FF_CHG_CASH_CF(LTM_SEMI_R,0,,,,LOCAL)&lt;/Q&gt;&lt;R&gt;1&lt;/R&gt;&lt;C&gt;1&lt;/C&gt;&lt;D xsi:type="xsd:double"&gt;22.6&lt;/D&gt;&lt;/FQL&gt;&lt;FQL&gt;&lt;Q&gt;UNM^FF_FOR_EXCH_CF(LTM_R,0,,,,LOCAL)@FF_FOR_EXCH_CF(LTM_SEMI_R,0,,,,LOCAL)&lt;/Q&gt;&lt;R&gt;0&lt;/R&gt;&lt;C&gt;0&lt;/C&gt;&lt;/FQL&gt;&lt;FQL&gt;&lt;Q&gt;UNM^FF_FIN_CF(LTM_R,0,,,,LOCAL)@FF_FIN_CF(LTM_SEMI_R,0,,,,LOCAL)&lt;/Q&gt;&lt;R&gt;1&lt;/R&gt;&lt;C&gt;1&lt;/C&gt;&lt;D xsi:type="xsd:double"&gt;-430.3&lt;/D&gt;&lt;/FQL&gt;&lt;FQL&gt;&lt;Q&gt;UNM^FF_DIV_COM_CF(LTM_R,0,,,,LOCAL)@FF_DIV_COM_CF(LTM_SEMI_R,0,,,,LOCAL)&lt;/Q&gt;&lt;R&gt;1&lt;/R&gt;&lt;C&gt;1&lt;/C&gt;&lt;D xsi:type="xsd:double"&gt;271.5&lt;/D&gt;&lt;/FQL&gt;&lt;FQL&gt;&lt;Q&gt;UNM^FF_INVEST_CF(LTM_R,0,,,,LOCAL)@FF_INVEST_CF(LTM_SEMI_R,0,,,,LOCAL)&lt;/Q&gt;&lt;R&gt;1&lt;/R&gt;&lt;C&gt;1&lt;/C&gt;&lt;D xsi:type="xsd:double"&gt;-763.3&lt;/D&gt;&lt;/FQL&gt;&lt;FQL&gt;&lt;Q&gt;UNM^FF_CAPEX_FIX(LTM_R,0,,,,LOCAL)@FF_CAPEX_FIX(LTM_SEMI_R,0,,,,LOCAL)&lt;/Q&gt;&lt;R&gt;1&lt;/R&gt;&lt;C&gt;1&lt;/C&gt;&lt;D xsi:type="xsd:double"&gt;120.5&lt;/D&gt;&lt;/FQL&gt;&lt;FQL&gt;&lt;Q&gt;UNM^FF_OPER_CF(LTM_R,0,,,,LOCAL)@FF_OPER_CF(LTM_SEMI_R,0,,,,LOCAL)&lt;/Q&gt;&lt;R&gt;1&lt;/R&gt;&lt;C&gt;1&lt;/C&gt;&lt;D xsi:type="xsd:double"&gt;1216.2&lt;/D&gt;&lt;/FQL&gt;&lt;FQL&gt;&lt;Q&gt;UNM^FF_FUNDS_OPER_GROSS(LTM_R,0,,,,LOCAL)@FF_FUNDS_OPER_GROSS(LTM_SEMI_R,0,,,,LOCAL)&lt;/Q&gt;&lt;R&gt;1&lt;/R&gt;&lt;C&gt;1&lt;/C&gt;&lt;D xsi:type="xsd:double"&gt;1122.2&lt;/D&gt;&lt;/FQL&gt;&lt;FQL&gt;&lt;Q&gt;UNM^FE_ESTIMATE(FCF,MEDIAN,ANNUAL_ROLL,+3,0,,,'CURRENCY=LOCAL')&lt;/Q&gt;&lt;R&gt;0&lt;/R&gt;&lt;C&gt;0&lt;/C&gt;&lt;/FQL&gt;&lt;FQL&gt;&lt;Q&gt;UNM^FE_ESTIMATE(FCF,MEDIAN,ANNUAL_ROLL,+2,0,,,'CURRENCY=LOCAL')&lt;/Q&gt;&lt;R&gt;1&lt;/R&gt;&lt;C&gt;1&lt;/C&gt;&lt;D xsi:type="xsd:double"&gt;201.133&lt;/D&gt;&lt;/FQL&gt;&lt;FQL&gt;&lt;Q&gt;UNM^FE_ESTIMATE(FCF,MEDIAN,ANNUAL_ROLL,+1,0,,,'CURRENCY=LOCAL')&lt;/Q&gt;&lt;R&gt;1&lt;/R&gt;&lt;C&gt;1&lt;/C&gt;&lt;D xsi:type="xsd:double"&gt;193.2125&lt;/D&gt;&lt;/FQL&gt;&lt;FQL&gt;&lt;Q&gt;UNM^FE_ESTIMATE(CF_FIN,MEDIAN,ANNUAL_ROLL,+3,0,,,'CURRENCY=LOCAL')&lt;/Q&gt;&lt;R&gt;0&lt;/R&gt;&lt;C&gt;0&lt;/C&gt;&lt;/FQL&gt;&lt;FQL&gt;&lt;Q&gt;UNM^FE_ESTIMATE(CF_FIN,MEDIAN,ANNUAL_ROLL,+2,0,,,'CURRENCY=LOCAL')&lt;/Q&gt;&lt;R&gt;0&lt;/R&gt;&lt;C&gt;0&lt;/C&gt;&lt;/FQL&gt;&lt;FQL&gt;&lt;Q&gt;UNM^FE_ESTIMATE(CF_FIN,MEDIAN,ANNUAL_ROLL,+1,0,,,'CURRENCY=LOCAL')&lt;/Q&gt;&lt;R&gt;0&lt;/R&gt;&lt;C&gt;0&lt;/C&gt;&lt;/FQL&gt;&lt;FQL&gt;&lt;Q&gt;UNM^FE_ESTIMATE(CF_INV,MEDIAN,ANNUAL_ROLL,+3,0,,,'CURRENCY=LOCAL')&lt;/Q&gt;&lt;R&gt;0&lt;/R&gt;&lt;C&gt;0&lt;/C&gt;&lt;/FQL&gt;&lt;FQL&gt;&lt;Q&gt;UNM^FE_ESTIMATE(CF_INV,MEDIAN,ANNUAL_ROLL,+2,0,,,'CURRENCY=LOCAL')&lt;/Q&gt;&lt;R&gt;0&lt;/R&gt;&lt;C&gt;0&lt;/C&gt;&lt;/FQL&gt;&lt;FQL&gt;&lt;Q&gt;UNM^FE_ESTIMATE(CF_INV,MEDIAN,ANNUAL_ROLL,+1,0,,,'CURRENCY=LOCAL')&lt;/Q&gt;&lt;R&gt;0&lt;/R&gt;&lt;C&gt;0&lt;/C&gt;&lt;/FQL&gt;&lt;FQL&gt;&lt;Q&gt;UNM^FE_ESTIMATE(CAPEX,MEDIAN,ANNUAL_ROLL,+3,0,,,'CURRENCY=LOCAL')&lt;/Q&gt;&lt;R&gt;0&lt;/R&gt;&lt;C&gt;0&lt;/C&gt;&lt;/FQL&gt;&lt;FQL&gt;&lt;Q&gt;UNM^FE_ESTIMATE(CAPEX,MEDIAN,ANNUAL_ROLL,+2,0,,,'CURRENCY=LOCAL')&lt;/Q&gt;&lt;R&gt;0&lt;/R&gt;&lt;C&gt;0&lt;/C&gt;&lt;/FQL&gt;&lt;FQL&gt;&lt;Q&gt;UNM^FE_ESTIMATE(CAPEX,MEDIAN,ANNUAL_ROLL,+1,0,,,'CURRENCY=LOCAL')&lt;/Q&gt;&lt;R&gt;0&lt;/R&gt;&lt;C&gt;0&lt;/C&gt;&lt;/FQL&gt;&lt;FQL&gt;&lt;Q&gt;UNM^FE_ESTIMATE(CF_OP,MEDIAN,ANNUAL_ROLL,+3,0,,,'CURRENCY=LOCAL')&lt;/Q&gt;&lt;R&gt;0&lt;/R&gt;&lt;C&gt;0&lt;/C&gt;&lt;/FQL&gt;&lt;FQL&gt;&lt;Q&gt;UNM^FE_ESTIMATE(CF_OP,MEDIAN,ANNUAL_ROLL,+2,0,,,'CURRENCY=LOCAL')&lt;/Q&gt;&lt;R&gt;0&lt;/R&gt;&lt;C&gt;0&lt;/C&gt;&lt;/FQL&gt;&lt;FQL&gt;&lt;Q&gt;UNM^FE_ESTIMATE(CF_OP,MEDIAN,ANNUAL_ROLL,+1,0,,,'CURRENCY=LOCAL')&lt;/Q&gt;&lt;R&gt;0&lt;/R&gt;&lt;C&gt;0&lt;/C&gt;&lt;/FQL&gt;&lt;FQL&gt;&lt;Q&gt;UNM^FE_ESTIMATE(FFO,MEDIAN,ANNUAL_ROLL,+3,0,,,'CURRENCY=LOCAL')&lt;/Q&gt;&lt;R&gt;0&lt;/R&gt;&lt;C&gt;0&lt;/C&gt;&lt;/FQL&gt;&lt;FQL&gt;&lt;Q&gt;UNM^FE_ESTIMATE(FFO,MEDIAN,ANNUAL_ROLL,+2,0,,,'CURRENCY=LOCAL')&lt;/Q&gt;&lt;R&gt;0&lt;/R&gt;&lt;C&gt;0&lt;/C&gt;&lt;/FQL&gt;&lt;FQL&gt;&lt;Q&gt;UNM^FE_ESTIMATE(FFO,MEDIAN,ANNUAL_ROLL,+1,0,,,'CURRENCY=LOCAL')&lt;/Q&gt;&lt;R&gt;0&lt;/R&gt;&lt;C&gt;0&lt;/C&gt;&lt;/FQL&gt;&lt;FQL&gt;&lt;Q&gt;UNM^FE_ESTIMATE(SHLDRS_EQ,MEDIAN,ANNUAL_ROLL,+3,0,,,'CURRENCY=LOCAL')&lt;/Q&gt;&lt;R&gt;1&lt;/R&gt;&lt;C&gt;1&lt;/C&gt;&lt;D xsi:type="xsd:double"&gt;11566&lt;/D&gt;&lt;/FQL&gt;&lt;FQL&gt;&lt;Q&gt;UNM^FE_ESTIMATE(SHLDRS_EQ,MEDIAN,ANNUAL_ROLL,+2,0,,,'CURRENCY=LOCAL')&lt;/Q&gt;&lt;R&gt;1&lt;/R&gt;&lt;C&gt;1&lt;/C&gt;&lt;D xsi:type="xsd:double"&gt;11071.2&lt;/D&gt;&lt;/FQL&gt;&lt;FQL&gt;&lt;Q&gt;UNM^FE_ESTIMATE(SHLDRS_EQ,MEDIAN,ANNUAL_ROLL,+1,0,,,'CURRENCY=LOCAL')&lt;/Q&gt;&lt;R&gt;1&lt;/R&gt;&lt;C&gt;1&lt;/C&gt;&lt;D xsi:type="xsd:double"&gt;10837.2&lt;/D&gt;&lt;/FQL&gt;&lt;FQL&gt;&lt;Q&gt;UNM^FE_ESTIMATE(DEBT,MEDIAN,ANNUAL_ROLL,+3,0,,,'CURRENCY=LOCAL')&lt;/Q&gt;&lt;R&gt;0&lt;/R&gt;&lt;C&gt;0&lt;/C&gt;&lt;/FQL&gt;&lt;FQL&gt;&lt;Q&gt;UNM^FE_ESTIMATE(DEBT,MEDIAN,ANNUAL_ROLL,+2,0,,,'CURRENCY=LOCAL')&lt;/Q&gt;&lt;R&gt;0&lt;/R&gt;&lt;C&gt;0&lt;/C&gt;&lt;/FQL&gt;&lt;FQL&gt;&lt;Q&gt;UNM^FE_ESTIMATE(DEBT,MEDIAN,ANNUAL_ROLL,+1,0,,,'CURRENCY=LOCAL')&lt;/Q&gt;&lt;R&gt;0&lt;/R&gt;&lt;C&gt;0&lt;/C&gt;&lt;/FQL&gt;&lt;FQL&gt;&lt;Q&gt;UNM^FE_ESTIMATE(CURRENT_LIABILITIES,MEDIAN,ANNUAL_ROLL,+3,0,,,'CURRENCY=LOCAL')&lt;/Q&gt;&lt;R&gt;0&lt;/R&gt;&lt;C&gt;0&lt;/C&gt;&lt;/FQL&gt;&lt;FQL&gt;&lt;Q&gt;UNM^FE_ESTIMATE(CURRENT_LIABILITIES,MEDIAN,ANNUAL_ROLL,+2,0,,,'CURRENCY=LOCAL')&lt;/Q&gt;&lt;R&gt;0&lt;/R&gt;&lt;C&gt;0&lt;/C&gt;&lt;/FQL&gt;&lt;FQL&gt;&lt;Q&gt;UNM^FE_ESTIMATE(CURRENT_LIABILITIES,MEDIAN,ANNUAL_ROLL,+1,0,,,'CURRENCY=LOCAL')&lt;/Q&gt;&lt;R&gt;0&lt;/R&gt;&lt;C&gt;0&lt;/C&gt;&lt;/FQL&gt;&lt;FQL&gt;&lt;Q&gt;UNM^FE_ESTIMATE(INVENTORIES,MEDIAN,ANNUAL_ROLL,+3,0,,,'CURRENCY=LOCAL')&lt;/Q&gt;&lt;R&gt;0&lt;/R&gt;&lt;C&gt;0&lt;/C&gt;&lt;/FQL&gt;&lt;FQL&gt;&lt;Q&gt;UNM^FE_ESTIMATE(INVENTORIES,MEDIAN,ANNUAL_ROLL,+2,0,,,'CURRENCY=LOCAL')&lt;/Q&gt;&lt;R&gt;0&lt;/R&gt;&lt;C&gt;0&lt;/C&gt;&lt;/FQL&gt;&lt;FQL&gt;&lt;Q&gt;UNM^FE_ESTIMATE(INVENTORIES,MEDIAN,ANNUAL_ROLL,+1,0,,,'CURRENCY=LOCAL')&lt;/Q&gt;&lt;R&gt;0&lt;/R&gt;&lt;C&gt;0&lt;/C&gt;&lt;/FQL&gt;&lt;FQL&gt;&lt;Q&gt;UNM^FE_ESTIMATE(NET_INC,MEDIAN,ANNUAL_ROLL,+3,0,,,'CURRENCY=LOCAL')&lt;/Q&gt;&lt;R&gt;1&lt;/R&gt;&lt;C&gt;1&lt;/C&gt;&lt;D xsi:type="xsd:double"&gt;1539.3&lt;/D&gt;&lt;/FQL&gt;&lt;FQL&gt;&lt;Q&gt;UNM^FE_ESTIMATE(NET_INC,CURRENCY,ANNUAL_ROLL,+1,0,,,'CURRENCY=LOCAL')&lt;/Q&gt;&lt;R&gt;1&lt;/R&gt;&lt;C&gt;1&lt;/C&gt;&lt;D xsi:type="xsd:string"&gt;#NUM&lt;/D&gt;&lt;/FQL&gt;&lt;FQL&gt;&lt;Q&gt;UNM^FE_ESTIMATE(NET_INC,MEDIAN,ANNUAL_ROLL,+1,0,,,'CURRENCY=LOCAL')&lt;/Q&gt;&lt;R&gt;1&lt;/R&gt;&lt;C&gt;1&lt;/C&gt;&lt;D xsi:type="xsd:double"&gt;1516&lt;/D&gt;&lt;/FQL&gt;&lt;FQL&gt;&lt;Q&gt;UNM^FE_ESTIMATE(TAX_EXPENSE,MEDIAN,ANNUAL_ROLL,+3,0,,,'CURRENCY=LOCAL')&lt;/Q&gt;&lt;R&gt;1&lt;/R&gt;&lt;C&gt;1&lt;/C&gt;&lt;D xsi:type="xsd:double"&gt;415.35&lt;/D&gt;&lt;/FQL&gt;&lt;FQL&gt;&lt;Q&gt;UNM^FE_ESTIMATE(TAX_EXPENSE,MEDIAN,ANNUAL_ROLL,+2,0,,,'CURRENCY=LOCAL')&lt;/Q&gt;&lt;R&gt;1&lt;/R&gt;&lt;C&gt;1&lt;/C&gt;&lt;D xsi:type="xsd:double"&gt;398.55&lt;/D&gt;&lt;/FQL&gt;&lt;FQL&gt;&lt;Q&gt;UNM^FE_ESTIMATE(TAX_EXPENSE,MEDIAN,ANNUAL_ROLL,+1,0,,,'CURRENCY=LOCAL')&lt;/Q&gt;&lt;R&gt;1&lt;/R&gt;&lt;C&gt;1&lt;/C&gt;&lt;D xsi:type="xsd:double"&gt;411.2&lt;/D&gt;&lt;/FQL&gt;&lt;FQL&gt;&lt;Q&gt;UNM^FE_ESTIMATE(PTX_INC,MEDIAN,ANNUAL_ROLL,+3,0,,,'CURRENCY=LOCAL')&lt;/Q&gt;&lt;R&gt;1&lt;/R&gt;&lt;C&gt;1&lt;/C&gt;&lt;D xsi:type="xsd:double"&gt;1956.1&lt;/D&gt;&lt;/FQL&gt;&lt;FQL&gt;&lt;Q&gt;UNM^FE_ESTIMATE(PTX_INC,MEDIAN,ANNUAL_ROLL,+2,0,,,'CURRENCY=LOCAL')&lt;/Q&gt;&lt;R&gt;1&lt;/R&gt;&lt;C&gt;1&lt;/C&gt;&lt;D xsi:type="xsd:double"&gt;1891.4824&lt;/D&gt;&lt;/FQL&gt;&lt;FQL&gt;&lt;Q&gt;UNM^FE_ESTIMATE(PTX_INC,MEDIAN,ANNUAL_ROLL,+1,0,,,'CURRENCY=LOCAL')&lt;/Q&gt;&lt;R&gt;1&lt;/R&gt;&lt;C&gt;1&lt;/C&gt;&lt;D xsi:type="xsd:double"&gt;1933.7&lt;/D&gt;&lt;/FQL&gt;&lt;FQL&gt;&lt;Q&gt;UNM^FE_ESTIMATE(INT_EXP,MEDIAN,ANNUAL_ROLL,+3,0,,,'CURRENCY=LOCAL')&lt;/Q&gt;&lt;R&gt;1&lt;/R&gt;&lt;C&gt;1&lt;/C&gt;&lt;D xsi:type="xsd:double"&gt;269&lt;/D&gt;&lt;/FQL&gt;&lt;FQL&gt;&lt;Q&gt;UNM^FE_ESTIMATE(INT_EXP,MEDIAN,ANNUAL_ROLL,+2,0,,,'CURRENCY=LOCAL')&lt;/Q&gt;&lt;R&gt;1&lt;/R&gt;&lt;C&gt;1&lt;/C&gt;&lt;D xsi:type="xsd:double"&gt;200&lt;/D&gt;&lt;/FQL&gt;&lt;FQL&gt;&lt;Q&gt;UNM^FE_ESTIMATE(INT_EXP,MEDIAN,ANNUAL_ROLL,+1,0,,,'CURRENCY=LOCAL')&lt;/Q&gt;&lt;R&gt;1&lt;/R&gt;&lt;C&gt;1&lt;/C&gt;&lt;D xsi:type="xsd:double"&gt;245.3&lt;/D&gt;&lt;/FQL&gt;&lt;FQL&gt;&lt;Q&gt;UNM^FE_ESTIMATE(EBIT,MEDIAN,ANNUAL_ROLL,+3,0,,,'CURRENCY=LOCAL')&lt;/Q&gt;&lt;R&gt;1&lt;/R&gt;&lt;C&gt;1&lt;/C&gt;&lt;D xsi:type="xsd:double"&gt;1931.698&lt;/D&gt;&lt;/FQL&gt;&lt;FQL&gt;&lt;Q&gt;UNM^FE_ESTIMATE(EBIT,MEDIAN,ANNUAL_ROLL,+2,0,,,'CURRENCY=LOCAL')&lt;/Q&gt;&lt;R&gt;1&lt;/R&gt;&lt;C&gt;1&lt;/C&gt;&lt;D xsi:type="xsd:double"&gt;1892.9899&lt;/D&gt;&lt;/FQL&gt;&lt;FQL&gt;&lt;Q&gt;UNM^FE_ESTIMATE(EBIT,MEDIAN,ANNUAL_ROLL,+1,0,,,'CURRENCY=LOCAL')&lt;/Q&gt;&lt;R&gt;1&lt;/R&gt;&lt;C&gt;1&lt;/C&gt;&lt;D xsi:type="xsd:double"&gt;1779.7343&lt;/D&gt;&lt;/FQL&gt;&lt;FQL&gt;&lt;Q&gt;UNM^FE_ESTIMATE(SALES,MEDIAN,ANNUAL_ROLL,+3,0,,,'CURRENCY=LOCAL')&lt;/Q&gt;&lt;R&gt;1&lt;/R&gt;&lt;C&gt;1&lt;/C&gt;&lt;D xsi:type="xsd:double"&gt;13270.742&lt;/D&gt;&lt;/FQL&gt;&lt;FQL&gt;&lt;Q&gt;UNM^FE_ESTIMATE(SALES,MEDIAN,ANNUAL_ROLL,+2,0,,,'CURRENCY=LOCAL')&lt;/Q&gt;&lt;R&gt;1&lt;/R&gt;&lt;C&gt;1&lt;/C&gt;&lt;D xsi:type="xsd:double"&gt;12843.693&lt;/D&gt;&lt;/FQL&gt;&lt;FQL&gt;&lt;Q&gt;UNM^FE_ESTIMATE(SALES,MEDIAN,ANNUAL_ROLL,+1,0,,,'CURRENCY=LOCAL')&lt;/Q&gt;&lt;R&gt;1&lt;/R&gt;&lt;C&gt;1&lt;/C&gt;&lt;D xsi:type="xsd:double"&gt;12409.292&lt;/D&gt;&lt;/FQL&gt;&lt;FQL&gt;&lt;Q&gt;UNM^FE_ACTUAL_DATE(FISCALPERIODEND,,ANNUAL,3,'MM/YYYY')&lt;/Q&gt;&lt;R&gt;1&lt;/R&gt;&lt;C&gt;1&lt;/C&gt;&lt;D xsi:type="xsd:string"&gt;12/2025&lt;/D&gt;&lt;/FQL&gt;&lt;FQL&gt;&lt;Q&gt;UNM^FE_ACTUAL_DATE(FISCALPERIODEND,,ANNUAL,2,'MM/YYYY')&lt;/Q&gt;&lt;R&gt;1&lt;/R&gt;&lt;C&gt;1&lt;/C&gt;&lt;D xsi:type="xsd:string"&gt;12/2024&lt;/D&gt;&lt;/FQL&gt;&lt;FQL&gt;&lt;Q&gt;UNM^FE_ACTUAL_DATE(FISCALPERIODEND,,ANNUAL,1,'MM/YYYY')&lt;/Q&gt;&lt;R&gt;1&lt;/R&gt;&lt;C&gt;1&lt;/C&gt;&lt;D xsi:type="xsd:string"&gt;12/2023&lt;/D&gt;&lt;/FQL&gt;&lt;FQL&gt;&lt;Q&gt;UNM^FF_SALES(,12/2012,,,,LOCAL)&lt;/Q&gt;&lt;R&gt;1&lt;/R&gt;&lt;C&gt;1&lt;/C&gt;&lt;D xsi:type="xsd:double"&gt;10515.4&lt;/D&gt;&lt;/FQL&gt;&lt;FQL&gt;&lt;Q&gt;UNM^FF_SALES(,12/2013,,,,LOCAL)&lt;/Q&gt;&lt;R&gt;1&lt;/R&gt;&lt;C&gt;1&lt;/C&gt;&lt;D xsi:type="xsd:double"&gt;10353.8&lt;/D&gt;&lt;/FQL&gt;&lt;FQL&gt;&lt;Q&gt;UNM^FF_SALES(,12/2014,,,,LOCAL)&lt;/Q&gt;&lt;R&gt;1&lt;/R&gt;&lt;C&gt;1&lt;/C&gt;&lt;D xsi:type="xsd:double"&gt;10524.5&lt;/D&gt;&lt;/FQL&gt;&lt;FQL&gt;&lt;Q&gt;UNM^FF_SALES(,12/2015,,,,LOCAL)&lt;/Q&gt;&lt;R&gt;1&lt;/R&gt;&lt;C&gt;1&lt;/C&gt;&lt;D xsi:type="xsd:double"&gt;10731.3&lt;/D&gt;&lt;/FQL&gt;&lt;FQL&gt;&lt;Q&gt;UNM^FF_SALES(,12/2016,,,,LOCAL)&lt;/Q&gt;&lt;R&gt;1&lt;/R&gt;&lt;C&gt;1&lt;/C&gt;&lt;D xsi:type="xsd:double"&gt;11046.5&lt;/D&gt;&lt;/FQL&gt;&lt;FQL&gt;&lt;Q&gt;UNM^FF_SALES(,12/2017,,,,LOCAL)&lt;/Q&gt;&lt;R&gt;1&lt;/R&gt;&lt;C&gt;1&lt;/C&gt;&lt;D xsi:type="xsd:double"&gt;11286.8&lt;/D&gt;&lt;/FQL&gt;&lt;FQL&gt;&lt;Q&gt;UNM^FF_SALES(,12/2018,,,,LOCAL)&lt;/Q&gt;&lt;R&gt;1&lt;/R&gt;&lt;C&gt;1&lt;/C&gt;&lt;D xsi:type="xsd:double"&gt;11598.5&lt;/D&gt;&lt;/FQL&gt;&lt;FQL&gt;&lt;Q&gt;UNM^FF_SALES(,12/2019,,,,LOCAL)&lt;/Q&gt;&lt;R&gt;1&lt;/R&gt;&lt;C&gt;1&lt;/C&gt;&lt;D xsi:type="xsd:double"&gt;11998.9&lt;/D&gt;&lt;/FQL&gt;&lt;FQL&gt;&lt;Q&gt;UNM^FF_SALES(,12/2020,,,,LOCAL)&lt;/Q&gt;&lt;R&gt;1&lt;/R&gt;&lt;C&gt;1&lt;/C&gt;&lt;D xsi:type="xsd:double"&gt;13162.1&lt;/D&gt;&lt;/FQL&gt;&lt;FQL&gt;&lt;Q&gt;UNM^FF_SALES(,12/2021,,,,LOCAL)&lt;/Q&gt;&lt;R&gt;1&lt;/R&gt;&lt;C&gt;1&lt;/C&gt;&lt;D xsi:type="xsd:double"&gt;12013.8&lt;/D&gt;&lt;/FQL&gt;&lt;FQL&gt;&lt;Q&gt;UNM^FF_SALES(,12/2022,,,,LOCAL)&lt;/Q&gt;&lt;R&gt;1&lt;/R&gt;&lt;C&gt;1&lt;/C&gt;&lt;D xsi:type="xsd:double"&gt;11972.1&lt;/D&gt;&lt;/FQL&gt;&lt;FQL&gt;&lt;Q&gt;UNM^FF_COGS(,12/2012,,,,LOCAL)&lt;/Q&gt;&lt;R&gt;0&lt;/R&gt;&lt;C&gt;0&lt;/C&gt;&lt;/FQL&gt;&lt;FQL&gt;&lt;Q&gt;UNM^FF_COGS(,12/2013,,,,LOCAL)&lt;/Q&gt;&lt;R&gt;0&lt;/R&gt;&lt;C&gt;0&lt;/C&gt;&lt;/FQL&gt;&lt;FQL&gt;&lt;Q&gt;UNM^FF_COGS(,12/2014,,,,LOCAL)&lt;/Q&gt;&lt;R&gt;0&lt;/R&gt;&lt;C&gt;0&lt;/C&gt;&lt;/FQL&gt;&lt;FQL&gt;&lt;Q&gt;UNM^FF_COGS(,12/2015,,,,LOCAL)&lt;/Q&gt;&lt;R&gt;0&lt;/R&gt;&lt;C&gt;0&lt;/C&gt;&lt;/FQL&gt;&lt;FQL&gt;&lt;Q&gt;UNM^FF_COGS(,12/2016,,,,LOCAL)&lt;/Q&gt;&lt;R&gt;0&lt;/R&gt;&lt;C&gt;0&lt;/C&gt;&lt;/FQL&gt;&lt;FQL&gt;&lt;Q&gt;UNM^FF_COGS(,12/2017,,,,LOCAL)&lt;/Q&gt;&lt;R&gt;0&lt;/R&gt;&lt;C&gt;0&lt;/C&gt;&lt;/FQL&gt;&lt;FQL&gt;&lt;Q&gt;UNM^FF_COGS(,12/2018,,,,LOCAL)&lt;/Q&gt;&lt;R&gt;0&lt;/R&gt;&lt;C&gt;0&lt;/C&gt;&lt;/FQL&gt;&lt;FQL&gt;&lt;Q&gt;UNM^FF_COGS(,12/2019,,,,LOCAL)&lt;/Q&gt;&lt;R&gt;0&lt;/R&gt;&lt;C&gt;0&lt;/C&gt;&lt;/FQL&gt;&lt;FQL&gt;&lt;Q&gt;UNM^FF_COGS(,12/2020,,,,LOCAL)&lt;/Q&gt;&lt;R&gt;0&lt;/R&gt;&lt;C&gt;0&lt;/C&gt;&lt;/FQL&gt;&lt;FQL&gt;&lt;Q&gt;UNM^FF_COGS(,12/2021,,,,LOCAL)&lt;/Q&gt;&lt;R&gt;0&lt;/R&gt;&lt;C&gt;0&lt;/C&gt;&lt;/FQL&gt;&lt;FQL&gt;&lt;Q&gt;UNM^FF_COGS(,12/2022,,,,LOCAL)&lt;/Q&gt;&lt;R&gt;0&lt;/R&gt;&lt;C&gt;0&lt;/C&gt;&lt;/FQL&gt;&lt;FQL&gt;&lt;Q&gt;UNM^FF_GROSS_INC(,12/2012,,,,LOCAL)&lt;/Q&gt;&lt;R&gt;0&lt;/R&gt;&lt;C&gt;0&lt;/C&gt;&lt;/FQL&gt;&lt;FQL&gt;&lt;Q&gt;UNM^FF_GROSS_INC(,12/2013,,,,LOCAL)&lt;/Q&gt;&lt;R&gt;0&lt;/R&gt;&lt;C&gt;0&lt;/C&gt;&lt;/FQL&gt;&lt;FQL&gt;&lt;Q&gt;UNM^FF_GROSS_INC(,12/2014,,,,LOCAL)&lt;/Q&gt;&lt;R&gt;0&lt;/R&gt;&lt;C&gt;0&lt;/C&gt;&lt;/FQL&gt;&lt;FQL&gt;&lt;Q&gt;UNM^FF_GROSS_INC(,12/2015,,,,LOCAL)&lt;/Q&gt;&lt;R&gt;0&lt;/R&gt;&lt;C&gt;0&lt;/C&gt;&lt;/FQL&gt;&lt;FQL&gt;&lt;Q&gt;UNM^FF_GROSS_INC(,12/2016,,,,LOCAL)&lt;/Q&gt;&lt;R&gt;0&lt;/R&gt;&lt;C&gt;0&lt;/C&gt;&lt;/FQL&gt;&lt;FQL&gt;&lt;Q&gt;UNM^FF_GROSS_INC(,12/2017,,,,LOCAL)&lt;/Q&gt;&lt;R&gt;0&lt;/R&gt;&lt;C&gt;0&lt;/C&gt;&lt;/FQL&gt;&lt;FQL&gt;&lt;Q&gt;UNM^FF_GROSS_INC(,12/2018,,,,LOCAL)&lt;/Q&gt;&lt;R&gt;0&lt;/R&gt;&lt;C&gt;0&lt;/C&gt;&lt;/FQL&gt;&lt;FQL&gt;&lt;Q&gt;UNM^FF_GROSS_INC(,12/2019,,,,LOCAL)&lt;/Q&gt;&lt;R&gt;0&lt;/R&gt;&lt;C&gt;0&lt;/C&gt;&lt;/FQL&gt;&lt;FQL&gt;&lt;Q&gt;UNM^FF_GROSS_INC(,12/2020,,,,LOCAL)&lt;/Q&gt;&lt;R&gt;0&lt;/R&gt;&lt;C&gt;0&lt;/C&gt;&lt;/FQL&gt;&lt;FQL&gt;&lt;Q&gt;UNM^FF_GROSS_INC(,12/2021,,,,LOCAL)&lt;/Q&gt;&lt;R&gt;0&lt;/R&gt;&lt;C&gt;0&lt;/C&gt;&lt;/FQL&gt;&lt;FQL&gt;&lt;Q&gt;UNM^FF_GROSS_INC(,12/2022,,,,LOCAL)&lt;/Q&gt;&lt;R&gt;0&lt;/R&gt;&lt;C&gt;0&lt;/C&gt;&lt;/FQL&gt;&lt;FQL&gt;&lt;Q&gt;UNM^FF_EBIT_OPER(,12/2012,,,,LOCAL)&lt;/Q&gt;&lt;R&gt;0&lt;/R&gt;&lt;C&gt;0&lt;/C&gt;&lt;/FQL&gt;&lt;FQL&gt;&lt;Q&gt;UNM^FF_EBIT_OPER(,12/2013,,,,LOCAL)&lt;/Q&gt;&lt;R&gt;0&lt;/R&gt;&lt;C&gt;0&lt;/C&gt;&lt;/FQL&gt;&lt;FQL&gt;&lt;Q&gt;UNM^FF_EBIT_OPER(,12/2014,,,,LOCAL)&lt;/Q&gt;&lt;R&gt;0&lt;/R&gt;&lt;C&gt;0&lt;/C&gt;&lt;/FQL&gt;&lt;FQL&gt;&lt;Q&gt;UNM^FF_EBIT_OPER(,12/2015,,,,LOCAL)&lt;/Q&gt;&lt;R&gt;0&lt;/R&gt;&lt;C&gt;0&lt;/C&gt;&lt;/FQL&gt;&lt;FQL&gt;&lt;Q&gt;UNM^FF_EBIT_OPER(,12/2016,,,,LOCAL)&lt;/Q&gt;&lt;R&gt;0&lt;/R&gt;&lt;C&gt;0&lt;/C&gt;&lt;/FQL&gt;&lt;FQL&gt;&lt;Q&gt;UNM^FF_EBIT_OPER(,12/2017,,,,LOCAL)&lt;/Q&gt;&lt;R&gt;0&lt;/R&gt;&lt;C&gt;0&lt;/C&gt;&lt;/FQL&gt;&lt;FQL&gt;&lt;Q&gt;UNM^FF_EBIT_OPER(,12/2018,,,,LOCAL)&lt;/Q&gt;&lt;R&gt;0&lt;/R&gt;&lt;C&gt;0&lt;/C&gt;&lt;/FQL&gt;&lt;FQL&gt;&lt;Q&gt;UNM^FF_EBIT_OPER(,12/2019,,,,LOCAL)&lt;/Q&gt;&lt;R&gt;0&lt;/R&gt;&lt;C&gt;0&lt;/C&gt;&lt;/FQL&gt;&lt;FQL&gt;&lt;Q&gt;UNM^FF_EBIT_OPER(,12/2020,,,,LOCAL)&lt;/Q&gt;&lt;R&gt;0&lt;/R&gt;&lt;C&gt;0&lt;/C&gt;&lt;/FQL&gt;&lt;FQL&gt;&lt;Q&gt;UNM^FF_EBIT_OPER(,12/2021,,,,LOCAL)&lt;/Q&gt;&lt;R&gt;0&lt;/R&gt;&lt;C&gt;0&lt;/C&gt;&lt;/FQL&gt;&lt;FQL&gt;&lt;Q&gt;UNM^FF_EBIT_OPER(,12/2022,,,,LOCAL)&lt;/Q&gt;&lt;R&gt;0&lt;/R&gt;&lt;C&gt;0&lt;/C&gt;&lt;/FQL&gt;&lt;FQL&gt;&lt;Q&gt;UNM^FF_INT_EXP_NET(,12/2012,,,,LOCAL)&lt;/Q&gt;&lt;R&gt;1&lt;/R&gt;&lt;C&gt;1&lt;/C&gt;&lt;D xsi:type="xsd:double"&gt;145.4&lt;/D&gt;&lt;/FQL&gt;&lt;FQL&gt;&lt;Q&gt;UNM^FF_INT_EXP_NET(,12/2013,,,,LOCAL)&lt;/Q&gt;&lt;R&gt;1&lt;/R&gt;&lt;C&gt;1&lt;/C&gt;&lt;D xsi:type="xsd:double"&gt;149.4&lt;/D&gt;&lt;/FQL&gt;&lt;FQL&gt;&lt;Q&gt;UNM^FF_INT_EXP_NET(,12/2014,,,,LOCAL)&lt;/Q&gt;&lt;R&gt;1&lt;/R&gt;&lt;C&gt;1&lt;/C&gt;&lt;D xsi:type="xsd:double"&gt;167.5&lt;/D&gt;&lt;/FQL&gt;&lt;FQL&gt;&lt;Q&gt;UNM^FF_INT_EXP_NET(,12/2015,,,,LOCAL)&lt;/Q&gt;&lt;R&gt;1&lt;/R&gt;&lt;C&gt;1&lt;/C&gt;&lt;D xsi:type="xsd:double"&gt;152.8&lt;/D&gt;&lt;/FQL&gt;&lt;FQL&gt;&lt;Q&gt;UNM^FF_INT_EXP_NET(,12/2016,,,,LOCAL)&lt;/Q&gt;&lt;R&gt;1&lt;/R&gt;&lt;C&gt;1&lt;/C&gt;&lt;D xsi:type="xsd:double"&gt;166&lt;/D&gt;&lt;/FQL&gt;&lt;FQL&gt;&lt;Q&gt;UNM^FF_INT_EXP_NET(,12/2017,,,,LOCAL)&lt;/Q&gt;&lt;R&gt;1&lt;/R&gt;&lt;C&gt;1&lt;/C&gt;&lt;D xsi:type="xsd:double"&gt;159.9&lt;/D&gt;&lt;/FQL&gt;&lt;FQL&gt;&lt;Q&gt;UNM^FF_INT_EXP_NET(,12/2018,,,,LOCAL)&lt;/Q&gt;&lt;R&gt;1&lt;/R&gt;&lt;C&gt;1&lt;/C&gt;&lt;D xsi:type="xsd:double"&gt;167.3&lt;/D&gt;&lt;/FQL&gt;&lt;FQL&gt;&lt;Q&gt;UNM^FF_INT_EXP_NET(,12/2019,,,,LOCAL)&lt;/Q&gt;&lt;R&gt;1&lt;/R&gt;&lt;C&gt;1&lt;/C&gt;&lt;D xsi:type="xsd:double"&gt;177.4&lt;/D&gt;&lt;/FQL&gt;&lt;FQL&gt;&lt;Q&gt;UNM^FF_INT_EXP_NET(,12/2020,,,,LOCAL)&lt;/Q&gt;&lt;R&gt;1&lt;/R&gt;&lt;C&gt;1&lt;/C&gt;&lt;D xsi:type="xsd:double"&gt;188.2&lt;/D&gt;&lt;/FQL&gt;&lt;FQL&gt;&lt;Q&gt;UNM^FF_INT_EXP_NET(,12/2021,,,,LOCAL)&lt;/Q&gt;&lt;R&gt;1&lt;/R&gt;&lt;C&gt;1&lt;/C&gt;&lt;D xsi:type="xsd:double"&gt;185&lt;/D&gt;&lt;/FQL&gt;&lt;FQL&gt;&lt;Q&gt;UNM^FF_INT_EXP_NET(,12/2022,,,,LOCAL)&lt;/Q&gt;&lt;R&gt;1&lt;/R&gt;&lt;C&gt;1&lt;/C&gt;&lt;D xsi:type="xsd:double"&gt;188.5&lt;/D&gt;&lt;/FQL&gt;&lt;FQL&gt;&lt;Q&gt;UNM^FF_NON_OPER_INC(,12/2012,,,,LOCAL)&lt;/Q&gt;&lt;R&gt;1&lt;/R&gt;&lt;C&gt;1&lt;/C&gt;&lt;D xsi:type="xsd:double"&gt;0&lt;/D&gt;&lt;/FQL&gt;&lt;FQL&gt;&lt;Q&gt;UNM^FF_NON_OPER_INC(,12/2013,,,,LOCAL)&lt;/Q&gt;&lt;R&gt;1&lt;/R&gt;&lt;C&gt;1&lt;/C&gt;&lt;D xsi:type="xsd:double"&gt;0&lt;/D&gt;&lt;/FQL&gt;&lt;FQL&gt;&lt;Q&gt;UNM^FF_NON_OPER_INC(,12/2014,,,,LOCAL)&lt;/Q&gt;&lt;R&gt;1&lt;/R&gt;&lt;C&gt;1&lt;/C&gt;&lt;D xsi:type="xsd:double"&gt;0&lt;/D&gt;&lt;/FQL&gt;&lt;FQL&gt;&lt;Q&gt;UNM^FF_NON_OPER_INC(,12/2015,,,,LOCAL)&lt;/Q&gt;&lt;R&gt;1&lt;/R&gt;&lt;C&gt;1&lt;/C&gt;&lt;D xsi:type="xsd:double"&gt;0&lt;/D&gt;&lt;/FQL&gt;&lt;FQL&gt;&lt;Q&gt;UNM^FF_NON_OPER_INC(,12/2016,,,,LOCAL)&lt;/Q&gt;&lt;R&gt;1&lt;/R&gt;&lt;C&gt;1&lt;/C&gt;&lt;D xsi:type="xsd:double"&gt;0&lt;/D&gt;&lt;/FQL&gt;&lt;FQL&gt;&lt;Q&gt;UNM^FF_NON_OPER_INC(,12/2017,,,,LOCAL)&lt;/Q&gt;&lt;R&gt;1&lt;/R&gt;&lt;C&gt;1&lt;/C&gt;&lt;D xsi:type="xsd:double"&gt;0&lt;/D&gt;&lt;/FQL&gt;&lt;FQL&gt;&lt;Q&gt;UNM^FF_NON_OPER_INC(,12/2018,,,,LOCAL)&lt;/Q&gt;&lt;R&gt;1&lt;/R&gt;&lt;C&gt;1&lt;/C&gt;&lt;D xsi:type="xsd:double"&gt;0&lt;/D&gt;&lt;/FQL&gt;&lt;FQL&gt;&lt;Q&gt;UNM^FF_NON_OPER_INC(,12/2019,,,,LOCAL)&lt;/Q&gt;&lt;R&gt;1&lt;/R&gt;&lt;C&gt;1&lt;/C&gt;&lt;D xsi:type="xsd:double"&gt;0&lt;/D&gt;&lt;/FQL&gt;&lt;FQL&gt;&lt;Q&gt;UNM^FF_NON_OPER_INC(,12/2020,,,,LOCAL)&lt;/Q&gt;&lt;R&gt;1&lt;/R&gt;&lt;C&gt;1&lt;/C&gt;&lt;D xsi:type="xsd:double"&gt;0&lt;/D&gt;&lt;/FQL&gt;&lt;FQL&gt;&lt;Q&gt;UNM^FF_NON_OPER_INC(,12/2021,,,,LOCAL)&lt;/Q&gt;&lt;R&gt;1&lt;/R&gt;&lt;C&gt;1&lt;/C&gt;&lt;D xsi:type="xsd:double"&gt;0&lt;/D&gt;&lt;/FQL&gt;&lt;FQL&gt;&lt;Q&gt;UNM^FF_NON_OPER_INC(,12/2022,,,,LOCAL)&lt;/Q&gt;&lt;R&gt;1&lt;/R&gt;&lt;C&gt;1&lt;/C&gt;&lt;D xsi:type="xsd:double"&gt;-72.2&lt;/D&gt;&lt;/FQL&gt;&lt;FQL&gt;&lt;Q&gt;UNM^FF_UNUSUAL_EXP(,12/2012,,,,LOCAL)&lt;/Q&gt;&lt;R&gt;1&lt;/R&gt;&lt;C&gt;1&lt;/C&gt;&lt;D xsi:type="xsd:double"&gt;0&lt;/D&gt;&lt;/FQL&gt;&lt;FQL&gt;&lt;Q&gt;UNM^FF_UNUSUAL_EXP(,12/2013,,,,LOCAL)&lt;/Q&gt;&lt;R&gt;1&lt;/R&gt;&lt;C&gt;1&lt;/C&gt;&lt;D xsi:type="xsd:double"&gt;0&lt;/D&gt;&lt;/FQL&gt;&lt;FQL&gt;&lt;Q&gt;UNM^FF_UNUSUAL_EXP(,12/2014,,,,LOCAL)&lt;/Q&gt;&lt;R&gt;0&lt;/R&gt;&lt;C&gt;0&lt;/C&gt;&lt;/FQL&gt;&lt;FQL&gt;&lt;Q&gt;UNM^FF_UNUSUAL_EXP(,12/2015,,,,LOCAL)&lt;/Q&gt;&lt;R&gt;0&lt;/R&gt;&lt;C&gt;0&lt;/C&gt;&lt;/FQL&gt;&lt;FQL&gt;&lt;Q&gt;UNM^FF_UNUSUAL_EXP(,12/2016,,,,LOCAL)&lt;/Q&gt;&lt;R&gt;0&lt;/R&gt;&lt;C&gt;0&lt;/C&gt;&lt;/FQL&gt;&lt;FQL&gt;&lt;Q&gt;UNM^FF_UNUSUAL_EXP(,12/2017,,,,LOCAL)&lt;/Q&gt;&lt;R&gt;0&lt;/R&gt;&lt;C&gt;0&lt;/C&gt;&lt;/FQL&gt;&lt;FQL&gt;&lt;Q&gt;UNM^FF_UNUSUAL_EXP(,12/2018,,,,LOCAL)&lt;/Q&gt;&lt;R&gt;0&lt;/R&gt;&lt;C&gt;0&lt;/C&gt;&lt;/FQL&gt;&lt;FQL&gt;&lt;Q&gt;UNM^FF_UNUSUAL_EXP(,12/2019,,,,LOCAL)&lt;/Q&gt;&lt;R&gt;1&lt;/R&gt;&lt;C&gt;1&lt;/C&gt;&lt;D xsi:type="xsd:double"&gt;27.3&lt;/D&gt;&lt;/FQL&gt;&lt;FQL&gt;&lt;Q&gt;UNM^FF_UNUSUAL_EXP(,12/2020,,,,LOCAL)&lt;/Q&gt;&lt;R&gt;1&lt;/R&gt;&lt;C&gt;1&lt;/C&gt;&lt;D xsi:type="xsd:double"&gt;12.7&lt;/D&gt;&lt;/FQL&gt;&lt;FQL&gt;&lt;Q&gt;UNM^FF_UNUSUAL_EXP(,12/2021,,,,LOCAL)&lt;/Q&gt;&lt;R&gt;1&lt;/R&gt;&lt;C&gt;1&lt;/C&gt;&lt;D xsi:type="xsd:double"&gt;93.3&lt;/D&gt;&lt;/FQL&gt;&lt;FQL&gt;&lt;Q&gt;UNM^FF_UNUSUAL_EXP(,12/2022,,,,LOCAL)&lt;/Q&gt;&lt;R&gt;1&lt;/R&gt;&lt;C&gt;1&lt;/C&gt;&lt;D xsi:type="xsd:double"&gt;4.2&lt;/D&gt;&lt;/FQL&gt;&lt;FQL&gt;&lt;Q&gt;UNM^FF_PTX_INC(,12/2012,,,,LOCAL)&lt;/Q&gt;&lt;R&gt;1&lt;/R&gt;&lt;C&gt;1&lt;/C&gt;&lt;D xsi:type="xsd:double"&gt;1249.5&lt;/D&gt;&lt;/FQL&gt;&lt;FQL&gt;&lt;Q&gt;UNM^FF_PTX_INC(,12/2013,,,,LOCAL)&lt;/Q&gt;&lt;R&gt;1&lt;/R&gt;&lt;C&gt;1&lt;/C&gt;&lt;D xsi:type="xsd:double"&gt;1205.2&lt;/D&gt;&lt;/FQL&gt;&lt;FQL&gt;&lt;Q&gt;UNM^FF_PTX_INC(,12/2014,,,,LOCAL)&lt;/Q&gt;&lt;R&gt;1&lt;/R&gt;&lt;C&gt;1&lt;/C&gt;&lt;D xsi:type="xsd:double"&gt;542&lt;/D&gt;&lt;/FQL&gt;&lt;FQL&gt;&lt;Q&gt;UNM^FF_PTX_INC(,12/2015,,,,LOCAL)&lt;/Q&gt;&lt;R&gt;1&lt;/R&gt;&lt;C&gt;1&lt;/C&gt;&lt;D xsi:type="xsd:double"&gt;1238.3&lt;/D&gt;&lt;/FQL&gt;&lt;FQL&gt;&lt;Q&gt;UNM^FF_PTX_INC(,12/2016,,,,LOCAL)&lt;/Q&gt;&lt;R&gt;1&lt;/R&gt;&lt;C&gt;1&lt;/C&gt;&lt;D xsi:type="xsd:double"&gt;1347.7&lt;/D&gt;&lt;/FQL&gt;&lt;FQL&gt;&lt;Q&gt;UNM^FF_PTX_INC(,12/2017,,,,LOCAL)&lt;/Q&gt;&lt;R&gt;1&lt;/R&gt;&lt;C&gt;1&lt;/C&gt;&lt;D xsi:type="xsd:double"&gt;1404&lt;/D&gt;&lt;/FQL&gt;&lt;FQL&gt;&lt;Q&gt;UNM^FF_PTX_INC(,12/2018,,,,LOCAL)&lt;/Q&gt;&lt;R&gt;1&lt;/R&gt;&lt;C&gt;1&lt;/C&gt;&lt;D xsi:type="xsd:double"&gt;627.8&lt;/D&gt;&lt;/FQL&gt;&lt;FQL&gt;&lt;Q&gt;UNM^FF_PTX_INC(,12/2019,,,,LOCAL)&lt;/Q&gt;&lt;R&gt;1&lt;/R&gt;&lt;C&gt;1&lt;/C&gt;&lt;D xsi:type="xsd:double"&gt;1382.1&lt;/D&gt;&lt;/FQL&gt;&lt;FQL&gt;&lt;Q&gt;UNM^FF_PTX_INC(,12/2020,,,,LOCAL)&lt;/Q&gt;&lt;R&gt;1&lt;/R&gt;&lt;C&gt;1&lt;/C&gt;&lt;D xsi:type="xsd:double"&gt;964&lt;/D&gt;&lt;/FQL&gt;&lt;FQL&gt;&lt;Q&gt;UNM^FF_PTX_INC(,12/2021,,,,LOCAL)&lt;/Q&gt;&lt;R&gt;1&lt;/R&gt;&lt;C&gt;1&lt;/C&gt;&lt;D xsi:type="xsd:double"&gt;1063&lt;/D&gt;&lt;/FQL&gt;&lt;FQL&gt;&lt;Q&gt;UNM^FF_PTX_INC(,12/2022,,,,LOCAL)&lt;/Q&gt;&lt;R&gt;1&lt;/R&gt;&lt;C&gt;1&lt;/C&gt;&lt;D xsi:type="xsd:double"&gt;1631.4&lt;/D&gt;&lt;/FQL&gt;&lt;FQL&gt;&lt;Q&gt;UNM^FF_INC_TAX(,12/2012,,,,LOCAL)&lt;/Q&gt;&lt;R&gt;1&lt;/R&gt;&lt;C&gt;1&lt;/C&gt;&lt;D xsi:type="xsd:double"&gt;355.1&lt;/D&gt;&lt;/FQL&gt;&lt;FQL&gt;&lt;Q&gt;UNM^FF_INC_TAX(,12/2013,,,,LOCAL)&lt;/Q&gt;&lt;R&gt;1&lt;/R&gt;&lt;C&gt;1&lt;/C&gt;&lt;D xsi:type="xsd:double"&gt;347.1&lt;/D&gt;&lt;/FQL&gt;&lt;FQL&gt;&lt;Q&gt;UNM^FF_INC_TAX(,12/2014,,,,LOCAL)&lt;/Q&gt;&lt;R&gt;1&lt;/R&gt;&lt;C&gt;1&lt;/C&gt;&lt;D xsi:type="xsd:double"&gt;139.9&lt;/D&gt;&lt;/FQL&gt;&lt;FQL&gt;&lt;Q&gt;UNM^FF_INC_TAX(,12/2015,,,,LOCAL)&lt;/Q&gt;&lt;R&gt;1&lt;/R&gt;&lt;C&gt;1&lt;/C&gt;&lt;D xsi:type="xsd:double"&gt;371.2&lt;/D&gt;&lt;/FQL&gt;&lt;FQL&gt;&lt;Q&gt;UNM^FF_INC_TAX(,12/2016,,,,LOCAL)&lt;/Q&gt;&lt;R&gt;1&lt;/R&gt;&lt;C&gt;1&lt;/C&gt;&lt;D xsi:type="xsd:double"&gt;416.3&lt;/D&gt;&lt;/FQL&gt;&lt;FQL&gt;&lt;Q&gt;UNM^FF_INC_TAX(,12/2017,,,,LOCAL)&lt;/Q&gt;&lt;R&gt;1&lt;/R&gt;&lt;C&gt;1&lt;/C&gt;&lt;D xsi:type="xsd:double"&gt;409.8&lt;/D&gt;&lt;/FQL&gt;&lt;FQL&gt;&lt;Q&gt;UNM^FF_INC_TAX(,12/2018,,,,LOCAL)&lt;/Q&gt;&lt;R&gt;1&lt;/R&gt;&lt;C&gt;1&lt;/C&gt;&lt;D xsi:type="xsd:double"&gt;104.4&lt;/D&gt;&lt;/FQL&gt;&lt;FQL&gt;&lt;Q&gt;UNM^FF_INC_TAX(,12/2019,,,,LOCAL)&lt;/Q&gt;&lt;R&gt;1&lt;/R&gt;&lt;C&gt;1&lt;/C&gt;&lt;D xsi:type="xsd:double"&gt;281.8&lt;/D&gt;&lt;/FQL&gt;&lt;FQL&gt;&lt;Q&gt;UNM^FF_INC_TAX(,12/2020,,,,LOCAL)&lt;/Q&gt;&lt;R&gt;1&lt;/R&gt;&lt;C&gt;1&lt;/C&gt;&lt;D xsi:type="xsd:double"&gt;171&lt;/D&gt;&lt;/FQL&gt;&lt;FQL&gt;&lt;Q&gt;UNM^FF_INC_TAX(,12/2021,,,,LOCAL)&lt;/Q&gt;&lt;R&gt;1&lt;/R&gt;&lt;C&gt;1&lt;/C&gt;&lt;D xsi:type="xsd:double"&gt;238.8&lt;/D&gt;&lt;/FQL&gt;&lt;FQL&gt;&lt;Q&gt;UNM^FF_INC_TAX(,12/2022,,,,LOCAL)&lt;/Q&gt;&lt;R&gt;1&lt;/R&gt;&lt;C&gt;1&lt;/C&gt;&lt;D xsi:type="xsd:double"&gt;317.2&lt;/D&gt;&lt;/FQL&gt;&lt;FQL&gt;&lt;Q&gt;UNM^FF_NET_INC(,12/2012,,,,LOCAL)&lt;/Q&gt;&lt;R&gt;1&lt;/R&gt;&lt;C&gt;1&lt;/C&gt;&lt;D xsi:type="xsd:double"&gt;894.4&lt;/D&gt;&lt;/FQL&gt;&lt;FQL&gt;&lt;Q&gt;UNM^FF_NET_INC(,12/2013,,,,LOCAL)&lt;/Q&gt;&lt;R&gt;1&lt;/R&gt;&lt;C&gt;1&lt;/C&gt;&lt;D xsi:type="xsd:double"&gt;858.1&lt;/D&gt;&lt;/FQL&gt;&lt;FQL&gt;&lt;Q&gt;UNM^FF_NET_INC(,12/2014,,,,LOCAL)&lt;/Q&gt;&lt;R&gt;1&lt;/R&gt;&lt;C&gt;1&lt;/C&gt;&lt;D xsi:type="xsd:double"&gt;402.1&lt;/D&gt;&lt;/FQL&gt;&lt;FQL&gt;&lt;Q&gt;UNM^FF_NET_INC(,12/2015,,,,LOCAL)&lt;/Q&gt;&lt;R&gt;1&lt;/R&gt;&lt;C&gt;1&lt;/C&gt;&lt;D xsi:type="xsd:double"&gt;867.1&lt;/D&gt;&lt;/FQL&gt;&lt;FQL&gt;&lt;Q&gt;UNM^FF_NET_INC(,12/2016,,,,LOCAL)&lt;/Q&gt;&lt;R&gt;1&lt;/R&gt;&lt;C&gt;1&lt;/C&gt;&lt;D xsi:type="xsd:double"&gt;931.4&lt;/D&gt;&lt;/FQL&gt;&lt;FQL&gt;&lt;Q&gt;UNM^FF_NET_INC(,12/2017,,,,LOCAL)&lt;/Q&gt;&lt;R&gt;1&lt;/R&gt;&lt;C&gt;1&lt;/C&gt;&lt;D xsi:type="xsd:double"&gt;994.2&lt;/D&gt;&lt;/FQL&gt;&lt;FQL&gt;&lt;Q&gt;UNM^FF_NET_INC(,12/2018,,,,LOCAL)&lt;/Q&gt;&lt;R&gt;1&lt;/R&gt;&lt;C&gt;1&lt;/C&gt;&lt;D xsi:type="xsd:double"&gt;523.4&lt;/D&gt;&lt;/FQL&gt;&lt;FQL&gt;&lt;Q&gt;UNM^FF_NET_INC(,12/2019,,,,LOCAL)&lt;/Q&gt;&lt;R&gt;1&lt;/R&gt;&lt;C&gt;1&lt;/C&gt;&lt;D xsi:type="xsd:double"&gt;1100.3&lt;/D&gt;&lt;/FQL&gt;&lt;FQL&gt;&lt;Q&gt;UNM^FF_NET_INC(,12/2020,,,,LOCAL)&lt;/Q&gt;&lt;R&gt;1&lt;/R&gt;&lt;C&gt;1&lt;/C&gt;&lt;D xsi:type="xsd:double"&gt;793&lt;/D&gt;&lt;/FQL&gt;&lt;FQL&gt;&lt;Q&gt;UNM^FF_NET_INC(,12/2021,,,,LOCAL)&lt;/Q&gt;&lt;R&gt;1&lt;/R&gt;&lt;C&gt;1&lt;/C&gt;&lt;D xsi:type="xsd:double"&gt;824.2&lt;/D&gt;&lt;/FQL&gt;&lt;FQL&gt;&lt;Q&gt;UNM^FF_NET_INC(,12/2022,,,,LOCAL)&lt;/Q&gt;&lt;R&gt;1&lt;/R&gt;&lt;C&gt;1&lt;/C&gt;&lt;D xsi:type="xsd:double"&gt;1314.2&lt;/D&gt;&lt;/FQL&gt;&lt;FQL&gt;&lt;Q&gt;UNM^FF_COM_SHS_OUT_EPS_DIL(,12/2012,,,,LOCAL)&lt;/Q&gt;&lt;R&gt;1&lt;/R&gt;&lt;C&gt;1&lt;/C&gt;&lt;D xsi:type="xsd:double"&gt;281.7568&lt;/D&gt;&lt;/FQL&gt;&lt;FQL&gt;&lt;Q&gt;UNM^FF_COM_SHS_OUT_EPS_DIL(,12/2013,,,,LOCAL)&lt;/Q&gt;&lt;R&gt;1&lt;/R&gt;&lt;C&gt;1&lt;/C&gt;&lt;D xsi:type="xsd:double"&gt;265.9492&lt;/D&gt;&lt;/FQL&gt;&lt;FQL&gt;&lt;Q&gt;UNM^FF_COM_SHS_OUT_EPS_DIL(,12/2014,,,,LOCAL)&lt;/Q&gt;&lt;R&gt;1&lt;/R&gt;&lt;C&gt;1&lt;/C&gt;&lt;D xsi:type="xsd:double"&gt;256.6528&lt;/D&gt;&lt;/FQL&gt;&lt;FQL&gt;&lt;Q&gt;UNM^FF_COM_SHS_OUT_EPS_DIL(,12/2015,,,,LOCAL)&lt;/Q&gt;&lt;R&gt;1&lt;/R&gt;&lt;C&gt;1&lt;/C&gt;&lt;D xsi:type="xsd:double"&gt;247.8547&lt;/D&gt;&lt;/FQL&gt;&lt;FQL&gt;&lt;Q&gt;UNM^FF_COM_SHS_OUT_EPS_DIL(,12/2016,,,,LOCAL)&lt;/Q&gt;&lt;R&gt;1&lt;/R&gt;&lt;C&gt;1&lt;/C&gt;&lt;D xsi:type="xsd:double"&gt;235.9792&lt;/D&gt;&lt;/FQL&gt;&lt;FQL&gt;&lt;Q&gt;UNM^FF_COM_SHS_OUT_EPS_DIL(,12/2017,,,,LOCAL)&lt;/Q&gt;&lt;R&gt;1&lt;/R&gt;&lt;C&gt;1&lt;/C&gt;&lt;D xsi:type="xsd:double"&gt;227.3352&lt;/D&gt;&lt;/FQL&gt;&lt;FQL&gt;&lt;Q&gt;UNM^FF_COM_SHS_OUT_EPS_DIL(,12/2018,,,,LOCAL)&lt;/Q&gt;&lt;R&gt;1&lt;/R&gt;&lt;C&gt;1&lt;/C&gt;&lt;D xsi:type="xsd:double"&gt;220.0586&lt;/D&gt;&lt;/FQL&gt;&lt;FQL&gt;&lt;Q&gt;UNM^FF_COM_SHS_OUT_EPS_DIL(,12/2019,,,,LOCAL)&lt;/Q&gt;&lt;R&gt;1&lt;/R&gt;&lt;C&gt;1&lt;/C&gt;&lt;D xsi:type="xsd:double"&gt;209.8544&lt;/D&gt;&lt;/FQL&gt;&lt;FQL&gt;&lt;Q&gt;UNM^FF_COM_SHS_OUT_EPS_DIL(,12/2020,,,,LOCAL)&lt;/Q&gt;&lt;R&gt;1&lt;/R&gt;&lt;C&gt;1&lt;/C&gt;&lt;D xsi:type="xsd:double"&gt;203.7553&lt;/D&gt;&lt;/FQL&gt;&lt;FQL&gt;&lt;Q&gt;UNM^FF_COM_SHS_OUT_EPS_DIL(,12/2021,,,,LOCAL)&lt;/Q&gt;&lt;R&gt;1&lt;/R&gt;&lt;C&gt;1&lt;/C&gt;&lt;D xsi:type="xsd:double"&gt;204.8479&lt;/D&gt;&lt;/FQL&gt;&lt;FQL&gt;&lt;Q&gt;UNM^FF_COM_SHS_OUT_EPS_DIL(,12/2022,,,,LOCAL)&lt;/Q&gt;&lt;R&gt;1&lt;/R&gt;&lt;C&gt;1&lt;/C&gt;&lt;D xsi:type="xsd:double"&gt;202.1094&lt;/D&gt;&lt;/FQL&gt;&lt;FQL&gt;&lt;Q&gt;UNM^FF_EPS_DIL(,12/2012,,,,LOCAL)&lt;/Q&gt;&lt;R&gt;1&lt;/R&gt;&lt;C&gt;1&lt;/C&gt;&lt;D xsi:type="xsd:double"&gt;3.1744&lt;/D&gt;&lt;/FQL&gt;&lt;FQL&gt;&lt;Q&gt;UNM^FF_EPS_DIL(,12/2013,,,,LOCAL)&lt;/Q&gt;&lt;R&gt;1&lt;/R&gt;&lt;C&gt;1&lt;/C&gt;&lt;D xsi:type="xsd:double"&gt;3.2266&lt;/D&gt;&lt;/FQL&gt;&lt;FQL&gt;&lt;Q&gt;UNM^FF_EPS_DIL(,12/2014,,,,LOCAL)&lt;/Q&gt;&lt;R&gt;1&lt;/R&gt;&lt;C&gt;1&lt;/C&gt;&lt;D xsi:type="xsd:double"&gt;1.5667&lt;/D&gt;&lt;/FQL&gt;&lt;FQL&gt;&lt;Q&gt;UNM^FF_EPS_DIL(,12/2015,,,,LOCAL)&lt;/Q&gt;&lt;R&gt;1&lt;/R&gt;&lt;C&gt;1&lt;/C&gt;&lt;D xsi:type="xsd:double"&gt;3.4984&lt;/D&gt;&lt;/FQL&gt;&lt;FQL&gt;&lt;Q&gt;UNM^FF_EPS_DIL(,12/2016,,,,LOCAL)&lt;/Q&gt;&lt;R&gt;1&lt;/R&gt;&lt;C&gt;1&lt;/C&gt;&lt;D xsi:type="xsd:double"&gt;3.947&lt;/D&gt;&lt;/FQL&gt;&lt;FQL&gt;&lt;Q&gt;UNM^FF_EPS_DIL(,12/2017,,,,LOCAL)&lt;/Q&gt;&lt;R&gt;1&lt;/R&gt;&lt;C&gt;1&lt;/C&gt;&lt;D xsi:type="xsd:double"&gt;4.3733&lt;/D&gt;&lt;/FQL&gt;&lt;FQL&gt;&lt;Q&gt;UNM^FF_EPS_DIL(,12/2018,,,,LOCAL)&lt;/Q&gt;&lt;R&gt;1&lt;/R&gt;&lt;C&gt;1&lt;/C&gt;&lt;D xsi:type="xsd:double"&gt;2.3785&lt;/D&gt;&lt;/FQL&gt;&lt;FQL&gt;&lt;Q&gt;UNM^FF_EPS_DIL(,12/2019,,,,LOCAL)&lt;/Q&gt;&lt;R&gt;1&lt;/R&gt;&lt;C&gt;1&lt;/C&gt;&lt;D xsi:type="xsd:double"&gt;5.2432&lt;/D&gt;&lt;/FQL&gt;&lt;FQL&gt;&lt;Q&gt;UNM^FF_EPS_DIL(,12/2020,,,,LOCAL)&lt;/Q&gt;&lt;R&gt;1&lt;/R&gt;&lt;C&gt;1&lt;/C&gt;&lt;D xsi:type="xsd:double"&gt;3.8919&lt;/D&gt;&lt;/FQL&gt;&lt;FQL&gt;&lt;Q&gt;UNM^FF_EPS_DIL(,12/2021,,,,LOCAL)&lt;/Q&gt;&lt;R&gt;1&lt;/R&gt;&lt;C&gt;1&lt;/C&gt;&lt;D xsi:type="xsd:double"&gt;4.0235&lt;/D&gt;&lt;/FQL&gt;&lt;FQL&gt;&lt;Q&gt;UNM^FF_EPS_DIL(,12/2022,,,,LOCAL)&lt;/Q&gt;&lt;R&gt;1&lt;/R&gt;&lt;C&gt;1&lt;/C&gt;&lt;D xsi:type="xsd:double"&gt;6.5024&lt;/D&gt;&lt;/FQL&gt;&lt;FQL&gt;&lt;Q&gt;UNM^FF_CASH_ST(,12/2012,,,,LOCAL)&lt;/Q&gt;&lt;R&gt;0&lt;/R&gt;&lt;C&gt;0&lt;/C&gt;&lt;/FQL&gt;&lt;FQL&gt;&lt;Q&gt;UNM^FF_CASH_ST(,12/2013,,,,LOCAL)&lt;/Q&gt;&lt;R&gt;0&lt;/R&gt;&lt;C&gt;0&lt;/C&gt;&lt;/FQL&gt;&lt;FQL&gt;&lt;Q&gt;UNM^FF_CASH_ST(,12/2014,,,,LOCAL)&lt;/Q&gt;&lt;R&gt;0&lt;/R&gt;&lt;C&gt;0&lt;/C&gt;&lt;/FQL&gt;&lt;FQL&gt;&lt;Q&gt;UNM^FF_CASH_ST(,12/2015,,,,LOCAL)&lt;/Q&gt;&lt;R&gt;0&lt;/R&gt;&lt;C&gt;0&lt;/C&gt;&lt;/FQL&gt;&lt;FQL&gt;&lt;Q&gt;UNM^FF_CASH_ST(,12/2016,,,,LOCAL)&lt;/Q&gt;&lt;R&gt;0&lt;/R&gt;&lt;C&gt;0&lt;/C&gt;&lt;/FQL&gt;&lt;FQL&gt;&lt;Q&gt;UNM^FF_CASH_ST(,12/2017,,,,LOCAL)&lt;/Q&gt;&lt;R&gt;0&lt;/R&gt;&lt;C&gt;0&lt;/C&gt;&lt;/FQL&gt;&lt;FQL&gt;&lt;Q&gt;UNM^FF_CASH_ST(,12/2018,,,,LOCAL)&lt;/Q&gt;&lt;R&gt;0&lt;/R&gt;&lt;C&gt;0&lt;/C&gt;&lt;/FQL&gt;&lt;FQL&gt;&lt;Q&gt;UNM^FF_CASH_ST(,12/2019,,,,LOCAL)&lt;/Q&gt;&lt;R&gt;0&lt;/R&gt;&lt;C&gt;0&lt;/C&gt;&lt;/FQL&gt;&lt;FQL&gt;&lt;Q&gt;UNM^FF_CASH_ST(,12/2020,,,,LOCAL)&lt;/Q&gt;&lt;R&gt;0&lt;/R&gt;&lt;C&gt;0&lt;/C&gt;&lt;/FQL&gt;&lt;FQL&gt;&lt;Q&gt;UNM^FF_CASH_ST(,12/2021,,,,LOCAL)&lt;/Q&gt;&lt;R&gt;0&lt;/R&gt;&lt;C&gt;0&lt;/C&gt;&lt;/FQL&gt;&lt;FQL&gt;&lt;Q&gt;UNM^FF_CASH_ST(,12/2022,,,,LOCAL)&lt;/Q&gt;&lt;R&gt;0&lt;/R&gt;&lt;C&gt;0&lt;/C&gt;&lt;/FQL&gt;&lt;FQL&gt;&lt;Q&gt;UNM^FF_RECEIV_NET(,12/2012,,,,LOCAL)&lt;/Q&gt;&lt;R&gt;0&lt;/R&gt;&lt;C&gt;0&lt;/C&gt;&lt;/FQL&gt;&lt;FQL&gt;&lt;Q&gt;UNM^FF_RECEIV_NET(,12/2013,,,,LOCAL)&lt;/Q&gt;&lt;R&gt;0&lt;/R&gt;&lt;C&gt;0&lt;/C&gt;&lt;/FQL&gt;&lt;FQL&gt;&lt;Q&gt;UNM^FF_RECEIV_NET(,12/2014,,,,LOCAL)&lt;/Q&gt;&lt;R&gt;0&lt;/R&gt;&lt;C&gt;0&lt;/C&gt;&lt;/FQL&gt;&lt;FQL&gt;&lt;Q&gt;UNM^FF_RECEIV_NET(,12/2015,,,,LOCAL)&lt;/Q&gt;&lt;R&gt;0&lt;/R&gt;&lt;C&gt;0&lt;/C&gt;&lt;/FQL&gt;&lt;FQL&gt;&lt;Q&gt;UNM^FF_RECEIV_NET(,12/2016,,,,LOCAL)&lt;/Q&gt;&lt;R&gt;0&lt;/R&gt;&lt;C&gt;0&lt;/C&gt;&lt;/FQL&gt;&lt;FQL&gt;&lt;Q&gt;UNM^FF_RECEIV_NET(,12/2017,,,,LOCAL)&lt;/Q&gt;&lt;R&gt;0&lt;/R&gt;&lt;C&gt;0&lt;/C&gt;&lt;/FQL&gt;&lt;FQL&gt;&lt;Q&gt;UNM^FF_RECEIV_NET(,12/2018,,,,LOCAL)&lt;/Q&gt;&lt;R&gt;0&lt;/R&gt;&lt;C&gt;0&lt;/C&gt;&lt;/FQL&gt;&lt;FQL&gt;&lt;Q&gt;UNM^FF_RECEIV_NET(,12/2019,,,,LOCAL)&lt;/Q&gt;&lt;R&gt;0&lt;/R&gt;&lt;C&gt;0&lt;/C&gt;&lt;/FQL&gt;&lt;FQL&gt;&lt;Q&gt;UNM^FF_RECEIV_NET(,12/2020,,,,LOCAL)&lt;/Q&gt;&lt;R&gt;0&lt;/R&gt;&lt;C&gt;0&lt;/C&gt;&lt;/FQL&gt;&lt;FQL&gt;&lt;Q&gt;UNM^FF_RECEIV_NET(,12/2021,,,,LOCAL)&lt;/Q&gt;&lt;R&gt;0&lt;/R&gt;&lt;C&gt;0&lt;/C&gt;&lt;/FQL&gt;&lt;FQL&gt;&lt;Q&gt;UNM^FF_RECEIV_NET(,12/2022,,,,LOCAL)&lt;/Q&gt;&lt;R&gt;0&lt;/R&gt;&lt;C&gt;0&lt;/C&gt;&lt;/FQL&gt;&lt;FQL&gt;&lt;Q&gt;UNM^FF_INVEN(,12/2012,,,,LOCAL)&lt;/Q&gt;&lt;R&gt;0&lt;/R&gt;&lt;C&gt;0&lt;/C&gt;&lt;/FQL&gt;&lt;FQL&gt;&lt;Q&gt;UNM^FF_INVEN(,12/2013,,,,LOCAL)&lt;/Q&gt;&lt;R&gt;0&lt;/R&gt;&lt;C&gt;0&lt;/C&gt;&lt;/FQL&gt;&lt;FQL&gt;&lt;Q&gt;UNM^FF_INVEN(,12/2014,,,,LOCAL)&lt;/Q&gt;&lt;R&gt;0&lt;/R&gt;&lt;C&gt;0&lt;/C&gt;&lt;/FQL&gt;&lt;FQL&gt;&lt;Q&gt;UNM^FF_INVEN(,12/2015,,,,LOCAL)&lt;/Q&gt;&lt;R&gt;0&lt;/R&gt;&lt;C&gt;0&lt;/C&gt;&lt;/FQL&gt;&lt;FQL&gt;&lt;Q&gt;UNM^FF_INVEN(,12/2016,,,,LOCAL)&lt;/Q&gt;&lt;R&gt;0&lt;/R&gt;&lt;C&gt;0&lt;/C&gt;&lt;/FQL&gt;&lt;FQL&gt;&lt;Q&gt;UNM^FF_INVEN(,12/2017,,,,LOCAL)&lt;/Q&gt;&lt;R&gt;0&lt;/R&gt;&lt;C&gt;0&lt;/C&gt;&lt;/FQL&gt;&lt;FQL&gt;&lt;Q&gt;UNM^FF_INVEN(,12/2018,,,,LOCAL)&lt;/Q&gt;&lt;R&gt;0&lt;/R&gt;&lt;C&gt;0&lt;/C&gt;&lt;/FQL&gt;&lt;FQL&gt;&lt;Q&gt;UNM^FF_INVEN(,12/2019,,,,LOCAL)&lt;/Q&gt;&lt;R&gt;0&lt;/R&gt;&lt;C&gt;0&lt;/C&gt;&lt;/FQL&gt;&lt;FQL&gt;&lt;Q&gt;UNM^FF_INVEN(,12/2020,,,,LOCAL)&lt;/Q&gt;&lt;R&gt;0&lt;/R&gt;&lt;C&gt;0&lt;/C&gt;&lt;/FQL&gt;&lt;FQL&gt;&lt;Q&gt;UNM^FF_INVEN(,12/2021,,,,LOCAL)&lt;/Q&gt;&lt;R&gt;0&lt;/R&gt;&lt;C&gt;0&lt;/C&gt;&lt;/FQL&gt;&lt;FQL&gt;&lt;Q&gt;UNM^FF_INVEN(,12/2022,,,,LOCAL)&lt;/Q&gt;&lt;R&gt;0&lt;/R&gt;&lt;C&gt;0&lt;/C&gt;&lt;/FQL&gt;&lt;FQL&gt;&lt;Q&gt;UNM^FF_ASSETS_CURR(,12/2012,,,,LOCAL)&lt;/Q&gt;&lt;R&gt;1&lt;/R&gt;&lt;C&gt;1&lt;/C&gt;&lt;D xsi:type="xsd:double"&gt;4841.9&lt;/D&gt;&lt;/FQL&gt;&lt;FQL&gt;&lt;Q&gt;UNM^FF_ASSETS_CURR(,12/2013,,,,LOCAL)&lt;/Q</t>
        </r>
      </text>
    </comment>
    <comment ref="A3" authorId="0" shapeId="0" xr:uid="{8A6C4604-8DA5-4927-AE06-956AE144BC47}">
      <text>
        <r>
          <rPr>
            <b/>
            <sz val="9"/>
            <color indexed="81"/>
            <rFont val="Tahoma"/>
            <family val="2"/>
          </rPr>
          <t>&gt;&lt;R&gt;1&lt;/R&gt;&lt;C&gt;1&lt;/C&gt;&lt;D xsi:type="xsd:double"&gt;4330.3&lt;/D&gt;&lt;/FQL&gt;&lt;FQL&gt;&lt;Q&gt;UNM^FF_ASSETS_CURR(,12/2014,,,,LOCAL)&lt;/Q&gt;&lt;R&gt;1&lt;/R&gt;&lt;C&gt;1&lt;/C&gt;&lt;D xsi:type="xsd:double"&gt;4883.4&lt;/D&gt;&lt;/FQL&gt;&lt;FQL&gt;&lt;Q&gt;UNM^FF_ASSETS_CURR(,12/2015,,,,LOCAL)&lt;/Q&gt;&lt;R&gt;1&lt;/R&gt;&lt;C&gt;1&lt;/C&gt;&lt;D xsi:type="xsd:double"&gt;4354&lt;/D&gt;&lt;/FQL&gt;&lt;FQL&gt;&lt;Q&gt;UNM^FF_ASSETS_CURR(,12/2016,,,,LOCAL)&lt;/Q&gt;&lt;R&gt;1&lt;/R&gt;&lt;C&gt;1&lt;/C&gt;&lt;D xsi:type="xsd:double"&gt;4551.9&lt;/D&gt;&lt;/FQL&gt;&lt;FQL&gt;&lt;Q&gt;UNM^FF_ASSETS_CURR(,12/2017,,,,LOCAL)&lt;/Q&gt;&lt;R&gt;1&lt;/R&gt;&lt;C&gt;1&lt;/C&gt;&lt;D xsi:type="xsd:double"&gt;5241.2&lt;/D&gt;&lt;/FQL&gt;&lt;FQL&gt;&lt;Q&gt;UNM^FF_ASSETS_CURR(,12/2018,,,,LOCAL)&lt;/Q&gt;&lt;R&gt;1&lt;/R&gt;&lt;C&gt;1&lt;/C&gt;&lt;D xsi:type="xsd:double"&gt;4447.6&lt;/D&gt;&lt;/FQL&gt;&lt;FQL&gt;&lt;Q&gt;UNM^FF_ASSETS_CURR(,12/2019,,,,LOCAL)&lt;/Q&gt;&lt;R&gt;1&lt;/R&gt;&lt;C&gt;1&lt;/C&gt;&lt;D xsi:type="xsd:double"&gt;4510.3&lt;/D&gt;&lt;/FQL&gt;&lt;FQL&gt;&lt;Q&gt;UNM^FF_ASSETS_CURR(,12/2020,,,,LOCAL)&lt;/Q&gt;&lt;R&gt;1&lt;/R&gt;&lt;C&gt;1&lt;/C&gt;&lt;D xsi:type="xsd:double"&gt;4768.8&lt;/D&gt;&lt;/FQL&gt;&lt;FQL&gt;&lt;Q&gt;UNM^FF_ASSETS_CURR(,12/2021,,,,LOCAL)&lt;/Q&gt;&lt;R&gt;1&lt;/R&gt;&lt;C&gt;1&lt;/C&gt;&lt;D xsi:type="xsd:double"&gt;4370.5&lt;/D&gt;&lt;/FQL&gt;&lt;FQL&gt;&lt;Q&gt;UNM^FF_ASSETS_CURR(,12/2022,,,,LOCAL)&lt;/Q&gt;&lt;R&gt;1&lt;/R&gt;&lt;C&gt;1&lt;/C&gt;&lt;D xsi:type="xsd:double"&gt;4741.8&lt;/D&gt;&lt;/FQL&gt;&lt;FQL&gt;&lt;Q&gt;UNM^FF_PPE_NET(,12/2012,,,,LOCAL)&lt;/Q&gt;&lt;R&gt;1&lt;/R&gt;&lt;C&gt;1&lt;/C&gt;&lt;D xsi:type="xsd:double"&gt;501.6&lt;/D&gt;&lt;/FQL&gt;&lt;FQL&gt;&lt;Q&gt;UNM^FF_PPE_NET(,12/2013,,,,LOCAL)&lt;/Q&gt;&lt;R&gt;1&lt;/R&gt;&lt;C&gt;1&lt;/C&gt;&lt;D xsi:type="xsd:double"&gt;511.9&lt;/D&gt;&lt;/FQL&gt;&lt;FQL&gt;&lt;Q&gt;UNM^FF_PPE_NET(,12/2014,,,,LOCAL)&lt;/Q&gt;&lt;R&gt;1&lt;/R&gt;&lt;C&gt;1&lt;/C&gt;&lt;D xsi:type="xsd:double"&gt;531.7&lt;/D&gt;&lt;/FQL&gt;&lt;FQL&gt;&lt;Q&gt;UNM^FF_PPE_NET(,12/2015,,,,LOCAL)&lt;/Q&gt;&lt;R&gt;1&lt;/R&gt;&lt;C&gt;1&lt;/C&gt;&lt;D xsi:type="xsd:double"&gt;523.9&lt;/D&gt;&lt;/FQL&gt;&lt;FQL&gt;&lt;Q&gt;UNM^FF_PPE_NET(,12/2016,,,,LOCAL)&lt;/Q&gt;&lt;R&gt;1&lt;/R&gt;&lt;C&gt;1&lt;/C&gt;&lt;D xsi:type="xsd:double"&gt;500.6&lt;/D&gt;&lt;/FQL&gt;&lt;FQL&gt;&lt;Q&gt;UNM^FF_PPE_NET(,12/2017,,,,LOCAL)&lt;/Q&gt;&lt;R&gt;1&lt;/R&gt;&lt;C&gt;1&lt;/C&gt;&lt;D xsi:type="xsd:double"&gt;504.8&lt;/D&gt;&lt;/FQL&gt;&lt;FQL&gt;&lt;Q&gt;UNM^FF_PPE_NET(,12/2018,,,,LOCAL)&lt;/Q&gt;&lt;R&gt;1&lt;/R&gt;&lt;C&gt;1&lt;/C&gt;&lt;D xsi:type="xsd:double"&gt;546.9&lt;/D&gt;&lt;/FQL&gt;&lt;FQL&gt;&lt;Q&gt;UNM^FF_PPE_NET(,12/2019,,,,LOCAL)&lt;/Q&gt;&lt;R&gt;1&lt;/R&gt;&lt;C&gt;1&lt;/C&gt;&lt;D xsi:type="xsd:double"&gt;642.7&lt;/D&gt;&lt;/FQL&gt;&lt;FQL&gt;&lt;Q&gt;UNM^FF_PPE_NET(,12/2020,,,,LOCAL)&lt;/Q&gt;&lt;R&gt;1&lt;/R&gt;&lt;C&gt;1&lt;/C&gt;&lt;D xsi:type="xsd:double"&gt;580.9&lt;/D&gt;&lt;/FQL&gt;&lt;FQL&gt;&lt;Q&gt;UNM^FF_PPE_NET(,12/2021,,,,LOCAL)&lt;/Q&gt;&lt;R&gt;1&lt;/R&gt;&lt;C&gt;1&lt;/C&gt;&lt;D xsi:type="xsd:double"&gt;511.8&lt;/D&gt;&lt;/FQL&gt;&lt;FQL&gt;&lt;Q&gt;UNM^FF_PPE_NET(,12/2022,,,,LOCAL)&lt;/Q&gt;&lt;R&gt;1&lt;/R&gt;&lt;C&gt;1&lt;/C&gt;&lt;D xsi:type="xsd:double"&gt;489.4&lt;/D&gt;&lt;/FQL&gt;&lt;FQL&gt;&lt;Q&gt;UNM^FF_INTANG(,12/2012,,,,LOCAL)&lt;/Q&gt;&lt;R&gt;1&lt;/R&gt;&lt;C&gt;1&lt;/C&gt;&lt;D xsi:type="xsd:double"&gt;201.7&lt;/D&gt;&lt;/FQL&gt;&lt;FQL&gt;&lt;Q&gt;UNM^FF_INTANG(,12/2013,,,,LOCAL)&lt;/Q&gt;&lt;R&gt;1&lt;/R&gt;&lt;C&gt;1&lt;/C&gt;&lt;D xsi:type="xsd:double"&gt;200.9&lt;/D&gt;&lt;/FQL&gt;&lt;FQL&gt;&lt;Q&gt;UNM^FF_INTANG(,12/2014,,,,LOCAL)&lt;/Q&gt;&lt;R&gt;1&lt;/R&gt;&lt;C&gt;1&lt;/C&gt;&lt;D xsi:type="xsd:double"&gt;198.7&lt;/D&gt;&lt;/FQL&gt;&lt;FQL&gt;&lt;Q&gt;UNM^FF_INTANG(,12/2015,,,,LOCAL)&lt;/Q&gt;&lt;R&gt;1&lt;/R&gt;&lt;C&gt;1&lt;/C&gt;&lt;D xsi:type="xsd:double"&gt;230.9&lt;/D&gt;&lt;/FQL&gt;&lt;FQL&gt;&lt;Q&gt;UNM^FF_INTANG(,12/2016,,,,LOCAL)&lt;/Q&gt;&lt;R&gt;1&lt;/R&gt;&lt;C&gt;1&lt;/C&gt;&lt;D xsi:type="xsd:double"&gt;335.1&lt;/D&gt;&lt;/FQL&gt;&lt;FQL&gt;&lt;Q&gt;UNM^FF_INTANG(,12/2017,,,,LOCAL)&lt;/Q&gt;&lt;R&gt;1&lt;/R&gt;&lt;C&gt;1&lt;/C&gt;&lt;D xsi:type="xsd:double"&gt;338.6&lt;/D&gt;&lt;/FQL&gt;&lt;FQL&gt;&lt;Q&gt;UNM^FF_INTANG(,12/2018,,,,LOCAL)&lt;/Q&gt;&lt;R&gt;1&lt;/R&gt;&lt;C&gt;1&lt;/C&gt;&lt;D xsi:type="xsd:double"&gt;350.3&lt;/D&gt;&lt;/FQL&gt;&lt;FQL&gt;&lt;Q&gt;UNM^FF_INTANG(,12/2019,,,,LOCAL)&lt;/Q&gt;&lt;R&gt;1&lt;/R&gt;&lt;C&gt;1&lt;/C&gt;&lt;D xsi:type="xsd:double"&gt;351.7&lt;/D&gt;&lt;/FQL&gt;&lt;FQL&gt;&lt;Q&gt;UNM^FF_INTANG(,12/2020,,,,LOCAL)&lt;/Q&gt;&lt;R&gt;1&lt;/R&gt;&lt;C&gt;1&lt;/C&gt;&lt;D xsi:type="xsd:double"&gt;353&lt;/D&gt;&lt;/FQL&gt;&lt;FQL&gt;&lt;Q&gt;UNM^FF_INTANG(,12/2021,,,,LOCAL)&lt;/Q&gt;&lt;R&gt;1&lt;/R&gt;&lt;C&gt;1&lt;/C&gt;&lt;D xsi:type="xsd:double"&gt;352.2&lt;/D&gt;&lt;/FQL&gt;&lt;FQL&gt;&lt;Q&gt;UNM^FF_INTANG(,12/2022,,,,LOCAL)&lt;/Q&gt;&lt;R&gt;1&lt;/R&gt;&lt;C&gt;1&lt;/C&gt;&lt;D xsi:type="xsd:double"&gt;347.6&lt;/D&gt;&lt;/FQL&gt;&lt;FQL&gt;&lt;Q&gt;UNM^FF_ASSETS(,12/2012,,,,LOCAL)&lt;/Q&gt;&lt;R&gt;1&lt;/R&gt;&lt;C&gt;1&lt;/C&gt;&lt;D xsi:type="xsd:double"&gt;58082.8&lt;/D&gt;&lt;/FQL&gt;&lt;FQL&gt;&lt;Q&gt;UNM^FF_ASSETS(,12/2013,,,,LOCAL)&lt;/Q&gt;&lt;R&gt;1&lt;/R&gt;&lt;C&gt;1&lt;/C&gt;&lt;D xsi:type="xsd:double"&gt;55931.8&lt;/D&gt;&lt;/FQL&gt;&lt;FQL&gt;&lt;Q&gt;UNM^FF_ASSETS(,12/2014,,,,LOCAL)&lt;/Q&gt;&lt;R&gt;1&lt;/R&gt;&lt;C&gt;1&lt;/C&gt;&lt;D xsi:type="xsd:double"&gt;59722.2&lt;/D&gt;&lt;/FQL&gt;&lt;FQL&gt;&lt;Q&gt;UNM^FF_ASSETS(,12/2015,,,,LOCAL)&lt;/Q&gt;&lt;R&gt;1&lt;/R&gt;&lt;C&gt;1&lt;/C&gt;&lt;D xsi:type="xsd:double"&gt;57158&lt;/D&gt;&lt;/FQL&gt;&lt;FQL&gt;&lt;Q&gt;UNM^FF_ASSETS(,12/2016,,,,LOCAL)&lt;/Q&gt;&lt;R&gt;1&lt;/R&gt;&lt;C&gt;1&lt;/C&gt;&lt;D xsi:type="xsd:double"&gt;58698.7&lt;/D&gt;&lt;/FQL&gt;&lt;FQL&gt;&lt;Q&gt;UNM^FF_ASSETS(,12/2017,,,,LOCAL)&lt;/Q&gt;&lt;R&gt;1&lt;/R&gt;&lt;C&gt;1&lt;/C&gt;&lt;D xsi:type="xsd:double"&gt;60222.6&lt;/D&gt;&lt;/FQL&gt;&lt;FQL&gt;&lt;Q&gt;UNM^FF_ASSETS(,12/2018,,,,LOCAL)&lt;/Q&gt;&lt;R&gt;1&lt;/R&gt;&lt;C&gt;1&lt;/C&gt;&lt;D xsi:type="xsd:double"&gt;57950.6&lt;/D&gt;&lt;/FQL&gt;&lt;FQL&gt;&lt;Q&gt;UNM^FF_ASSETS(,12/2019,,,,LOCAL)&lt;/Q&gt;&lt;R&gt;1&lt;/R&gt;&lt;C&gt;1&lt;/C&gt;&lt;D xsi:type="xsd:double"&gt;63580&lt;/D&gt;&lt;/FQL&gt;&lt;FQL&gt;&lt;Q&gt;UNM^FF_ASSETS(,12/2020,,,,LOCAL)&lt;/Q&gt;&lt;R&gt;1&lt;/R&gt;&lt;C&gt;1&lt;/C&gt;&lt;D xsi:type="xsd:double"&gt;60683.5&lt;/D&gt;&lt;/FQL&gt;&lt;FQL&gt;&lt;Q&gt;UNM^FF_ASSETS(,12/2021,,,,LOCAL)&lt;/Q&gt;&lt;R&gt;1&lt;/R&gt;&lt;C&gt;1&lt;/C&gt;&lt;D xsi:type="xsd:double"&gt;59530.3&lt;/D&gt;&lt;/FQL&gt;&lt;FQL&gt;&lt;Q&gt;UNM^FF_ASSETS(,12/2022,,,,LOCAL)&lt;/Q&gt;&lt;R&gt;1&lt;/R&gt;&lt;C&gt;1&lt;/C&gt;&lt;D xsi:type="xsd:double"&gt;50900.5&lt;/D&gt;&lt;/FQL&gt;&lt;FQL&gt;&lt;Q&gt;UNM^FF_PAY_ACCT(,12/2012,,,,LOCAL)&lt;/Q&gt;&lt;R&gt;0&lt;/R&gt;&lt;C&gt;0&lt;/C&gt;&lt;/FQL&gt;&lt;FQL&gt;&lt;Q&gt;UNM^FF_PAY_ACCT(,12/2013,,,,LOCAL)&lt;/Q&gt;&lt;R&gt;0&lt;/R&gt;&lt;C&gt;0&lt;/C&gt;&lt;/FQL&gt;&lt;FQL&gt;&lt;Q&gt;UNM^FF_PAY_ACCT(,12/2014,,,,LOCAL)&lt;/Q&gt;&lt;R&gt;0&lt;/R&gt;&lt;C&gt;0&lt;/C&gt;&lt;/FQL&gt;&lt;FQL&gt;&lt;Q&gt;UNM^FF_PAY_ACCT(,12/2015,,,,LOCAL)&lt;/Q&gt;&lt;R&gt;0&lt;/R&gt;&lt;C&gt;0&lt;/C&gt;&lt;/FQL&gt;&lt;FQL&gt;&lt;Q&gt;UNM^FF_PAY_ACCT(,12/2016,,,,LOCAL)&lt;/Q&gt;&lt;R&gt;0&lt;/R&gt;&lt;C&gt;0&lt;/C&gt;&lt;/FQL&gt;&lt;FQL&gt;&lt;Q&gt;UNM^FF_PAY_ACCT(,12/2017,,,,LOCAL)&lt;/Q&gt;&lt;R&gt;0&lt;/R&gt;&lt;C&gt;0&lt;/C&gt;&lt;/FQL&gt;&lt;FQL&gt;&lt;Q&gt;UNM^FF_PAY_ACCT(,12/2018,,,,LOCAL)&lt;/Q&gt;&lt;R&gt;0&lt;/R&gt;&lt;C&gt;0&lt;/C&gt;&lt;/FQL&gt;&lt;FQL&gt;&lt;Q&gt;UNM^FF_PAY_ACCT(,12/2019,,,,LOCAL)&lt;/Q&gt;&lt;R&gt;0&lt;/R&gt;&lt;C&gt;0&lt;/C&gt;&lt;/FQL&gt;&lt;FQL&gt;&lt;Q&gt;UNM^FF_PAY_ACCT(,12/2020,,,,LOCAL)&lt;/Q&gt;&lt;R&gt;0&lt;/R&gt;&lt;C&gt;0&lt;/C&gt;&lt;/FQL&gt;&lt;FQL&gt;&lt;Q&gt;UNM^FF_PAY_ACCT(,12/2021,,,,LOCAL)&lt;/Q&gt;&lt;R&gt;0&lt;/R&gt;&lt;C&gt;0&lt;/C&gt;&lt;/FQL&gt;&lt;FQL&gt;&lt;Q&gt;UNM^FF_PAY_ACCT(,12/2022,,,,LOCAL)&lt;/Q&gt;&lt;R&gt;0&lt;/R&gt;&lt;C&gt;0&lt;/C&gt;&lt;/FQL&gt;&lt;FQL&gt;&lt;Q&gt;UNM^FF_LIABS_CURR(,12/2012,,,,LOCAL)&lt;/Q&gt;&lt;R&gt;1&lt;/R&gt;&lt;C&gt;1&lt;/C&gt;&lt;D xsi:type="xsd:double"&gt;-4332.6&lt;/D&gt;&lt;/FQL&gt;&lt;FQL&gt;&lt;Q&gt;UNM^FF_LIABS_CURR(,12/2013,,,,LOCAL)&lt;/Q&gt;&lt;R&gt;1&lt;/R&gt;&lt;C&gt;1&lt;/C&gt;&lt;D xsi:type="xsd:double"&gt;-4730&lt;/D&gt;&lt;/FQL&gt;&lt;FQL&gt;&lt;Q&gt;UNM^FF_LIABS_CURR(,12/2014,,,,LOCAL)&lt;/Q&gt;&lt;R&gt;1&lt;/R&gt;&lt;C&gt;1&lt;/C&gt;&lt;D xsi:type="xsd:double"&gt;-4680.7&lt;/D&gt;&lt;/FQL&gt;&lt;FQL&gt;&lt;Q&gt;UNM^FF_LIABS_CURR(,12/2015,,,,LOCAL)&lt;/Q&gt;&lt;R&gt;1&lt;/R&gt;&lt;C&gt;1&lt;/C&gt;&lt;D xsi:type="xsd:double"&gt;-3951.7&lt;/D&gt;&lt;/FQL&gt;&lt;FQL&gt;&lt;Q&gt;UNM^FF_LIABS_CURR(,12/2016,,,,LOCAL)&lt;/Q&gt;&lt;R&gt;1&lt;/R&gt;&lt;C&gt;1&lt;/C&gt;&lt;D xsi:type="xsd:double"&gt;-4432.3&lt;/D&gt;&lt;/FQL&gt;&lt;FQL&gt;&lt;Q&gt;UNM^FF_LIABS_CURR(,12/2017,,,,LOCAL)&lt;/Q&gt;&lt;R&gt;1&lt;/R&gt;&lt;C&gt;1&lt;/C&gt;&lt;D xsi:type="xsd:double"&gt;-4280.2&lt;/D&gt;&lt;/FQL&gt;&lt;FQL&gt;&lt;Q&gt;UNM^FF_LIABS_CURR(,12/2018,,,,LOCAL)&lt;/Q&gt;&lt;R&gt;1&lt;/R&gt;&lt;C&gt;1&lt;/C&gt;&lt;D xsi:type="xsd:double"&gt;-4510.3&lt;/D&gt;&lt;/FQL&gt;&lt;FQL&gt;&lt;Q&gt;UNM^FF_LIABS_CURR(,12/2019,,,,LOCAL)&lt;/Q&gt;&lt;R&gt;1&lt;/R&gt;&lt;C&gt;1&lt;/C&gt;&lt;D xsi:type="xsd:double"&gt;-4097.7&lt;/D&gt;&lt;/FQL&gt;&lt;FQL&gt;&lt;Q&gt;UNM^FF_LIABS_CURR(,12/2020,,,,LOCAL)&lt;/Q&gt;&lt;R&gt;1&lt;/R&gt;&lt;C&gt;1&lt;/C&gt;&lt;D xsi:type="xsd:double"&gt;-11453.6&lt;/D&gt;&lt;/FQL&gt;&lt;FQL&gt;&lt;Q&gt;UNM^FF_LIABS_CURR(,12/2021,,,,LOCAL)&lt;/Q&gt;&lt;R&gt;1&lt;/R&gt;&lt;C&gt;1&lt;/C&gt;&lt;D xsi:type="xsd:double"&gt;-11514.7&lt;/D&gt;&lt;/FQL&gt;&lt;FQL&gt;&lt;Q&gt;UNM^FF_LIABS_CURR(,12/2022,,,,LOCAL)&lt;/Q&gt;&lt;R&gt;1&lt;/R&gt;&lt;C&gt;1&lt;/C&gt;&lt;D xsi:type="xsd:double"&gt;-10720.8&lt;/D&gt;&lt;/FQL&gt;&lt;FQL&gt;&lt;Q&gt;UNM^FF_DEBT_ST(,12/2012,,,,LOCAL)&lt;/Q&gt;&lt;R&gt;1&lt;/R&gt;&lt;C&gt;1&lt;/C&gt;&lt;D xsi:type="xsd:double"&gt;455.8&lt;/D&gt;&lt;/FQL&gt;&lt;FQL&gt;&lt;Q&gt;UNM^FF_DEBT_ST(,12/2013,,,,LOCAL)&lt;/Q&gt;&lt;R&gt;1&lt;/R&gt;&lt;C&gt;1&lt;/C&gt;&lt;D xsi:type="xsd:double"&gt;76.5&lt;/D&gt;&lt;/FQL&gt;&lt;FQL&gt;&lt;Q&gt;UNM^FF_DEBT_ST(,12/2014,,,,LOCAL)&lt;/Q&gt;&lt;R&gt;1&lt;/R&gt;&lt;C&gt;1&lt;/C&gt;&lt;D xsi:type="xsd:double"&gt;151.9&lt;/D&gt;&lt;/FQL&gt;&lt;FQL&gt;&lt;Q&gt;UNM^FF_DEBT_ST(,12/2015,,,,LOCAL)&lt;/Q&gt;&lt;R&gt;1&lt;/R&gt;&lt;C&gt;1&lt;/C&gt;&lt;D xsi:type="xsd:double"&gt;352&lt;/D&gt;&lt;/FQL&gt;&lt;FQL&gt;&lt;Q&gt;UNM^FF_DEBT_ST(,12/2016,,,,LOCAL)&lt;/Q&gt;&lt;R&gt;1&lt;/R&gt;&lt;C&gt;1&lt;/C&gt;&lt;D xsi:type="xsd:double"&gt;0&lt;/D&gt;&lt;/FQL&gt;&lt;FQL&gt;&lt;Q&gt;UNM^FF_DEBT_ST(,12/2017,,,,LOCAL)&lt;/Q&gt;&lt;R&gt;1&lt;/R&gt;&lt;C&gt;1&lt;/C&gt;&lt;D xsi:type="xsd:double"&gt;199.9&lt;/D&gt;&lt;/FQL&gt;&lt;FQL&gt;&lt;Q&gt;UNM^FF_DEBT_ST(,12/2018,,,,LOCAL)&lt;/Q&gt;&lt;R&gt;1&lt;/R&gt;&lt;C&gt;1&lt;/C&gt;&lt;D xsi:type="xsd:double"&gt;0&lt;/D&gt;&lt;/FQL&gt;&lt;FQL&gt;&lt;Q&gt;UNM^FF_DEBT_ST(,12/2019,,,,LOCAL)&lt;/Q&gt;&lt;R&gt;1&lt;/R&gt;&lt;C&gt;1&lt;/C&gt;&lt;D xsi:type="xsd:double"&gt;426.3&lt;/D&gt;&lt;/FQL&gt;&lt;FQL&gt;&lt;Q&gt;UNM^FF_DEBT_ST(,12/2020,,,,LOCAL)&lt;/Q&gt;&lt;R&gt;1&lt;/R&gt;&lt;C&gt;1&lt;/C&gt;&lt;D xsi:type="xsd:double"&gt;25.4&lt;/D&gt;&lt;/FQL&gt;&lt;FQL&gt;&lt;Q&gt;UNM^FF_DEBT_ST(,12/2021,,,,LOCAL)&lt;/Q&gt;&lt;R&gt;1&lt;/R&gt;&lt;C&gt;1&lt;/C&gt;&lt;D xsi:type="xsd:double"&gt;22.6&lt;/D&gt;&lt;/FQL&gt;&lt;FQL&gt;&lt;Q&gt;UNM^FF_DEBT_ST(,12/2022,,,,LOCAL)&lt;/Q&gt;&lt;R&gt;1&lt;/R&gt;&lt;C&gt;1&lt;/C&gt;&lt;D xsi:type="xsd:double"&gt;20.2&lt;/D&gt;&lt;/FQL&gt;&lt;FQL&gt;&lt;Q&gt;UNM^FF_DEBT_LT(,12/2012,,,,LOCAL)&lt;/Q&gt;&lt;R&gt;1&lt;/R&gt;&lt;C&gt;1&lt;/C&gt;&lt;D xsi:type="xsd:double"&gt;2755.4&lt;/D&gt;&lt;/FQL&gt;&lt;FQL&gt;&lt;Q&gt;UNM^FF_DEBT_LT(,12/2013,,,,LOCAL)&lt;/Q&gt;&lt;R&gt;1&lt;/R&gt;&lt;C&gt;1&lt;/C&gt;&lt;D xsi:type="xsd:double"&gt;2612&lt;/D&gt;&lt;/FQL&gt;&lt;FQL&gt;&lt;Q&gt;UNM^FF_DEBT_LT(,12/2014,,,,LOCAL)&lt;/Q&gt;&lt;R&gt;1&lt;/R&gt;&lt;C&gt;1&lt;/C&gt;&lt;D xsi:type="xsd:double"&gt;2628.7&lt;/D&gt;&lt;/FQL&gt;&lt;FQL&gt;&lt;Q&gt;UNM^FF_DEBT_LT(,12/2015,,,,LOCAL)&lt;/Q&gt;&lt;R&gt;1&lt;/R&gt;&lt;C&gt;1&lt;/C&gt;&lt;D xsi:type="xsd:double"&gt;2449.4&lt;/D&gt;&lt;/FQL&gt;&lt;FQL&gt;&lt;Q&gt;UNM^FF_DEBT_LT(,12/2016,,,,LOCAL)&lt;/Q&gt;&lt;R&gt;1&lt;/R&gt;&lt;C&gt;1&lt;/C&gt;&lt;D xsi:type="xsd:double"&gt;2999.4&lt;/D&gt;&lt;/FQL&gt;&lt;FQL&gt;&lt;Q&gt;UNM^FF_DEBT_LT(,12/2017,,,,LOCAL)&lt;/Q&gt;&lt;R&gt;1&lt;/R&gt;&lt;C&gt;1&lt;/C&gt;&lt;D xsi:type="xsd:double"&gt;2738.4&lt;/D&gt;&lt;/FQL&gt;&lt;FQL&gt;&lt;Q&gt;UNM^FF_DEBT_LT(,12/2018,,,,LOCAL)&lt;/Q&gt;&lt;R&gt;1&lt;/R&gt;&lt;C&gt;1&lt;/C&gt;&lt;D xsi:type="xsd:double"&gt;2971.3&lt;/D&gt;&lt;/FQL&gt;&lt;FQL&gt;&lt;Q&gt;UNM^FF_DEBT_LT(,12/2019,,,,LOCAL)&lt;/Q&gt;&lt;R&gt;1&lt;/R&gt;&lt;C&gt;1&lt;/C&gt;&lt;D xsi:type="xsd:double"&gt;3015&lt;/D&gt;&lt;/FQL&gt;&lt;FQL&gt;&lt;Q&gt;UNM^FF_DEBT_LT(,12/2020,,,,LOCAL)&lt;/Q&gt;&lt;R&gt;1&lt;/R&gt;&lt;C&gt;1&lt;/C&gt;&lt;D xsi:type="xsd:double"&gt;3426.2&lt;/D&gt;&lt;/FQL&gt;&lt;FQL&gt;&lt;Q&gt;UNM^FF_DEBT_LT(,12/2021,,,,LOCAL)&lt;/Q&gt;&lt;R&gt;1&lt;/R&gt;&lt;C&gt;1&lt;/C&gt;&lt;D xsi:type="xsd:double"&gt;3502.2&lt;/D&gt;&lt;/FQL&gt;&lt;FQL&gt;&lt;Q&gt;UNM^FF_DEBT_LT(,12/2022,,,,LOCAL)&lt;/Q&gt;&lt;R&gt;1&lt;/R&gt;&lt;C&gt;1&lt;/C&gt;&lt;D xsi:type="xsd:double"&gt;3477.5&lt;/D&gt;&lt;/FQL&gt;&lt;FQL&gt;&lt;Q&gt;UNM^FF_DEBT(,12/2012,,,,LOCAL)&lt;/Q&gt;&lt;R&gt;1&lt;/R&gt;&lt;C&gt;1&lt;/C&gt;&lt;D xsi:type="xsd:double"&gt;3211.2&lt;/D&gt;&lt;/FQL&gt;&lt;FQL&gt;&lt;Q&gt;UNM^FF_DEBT(,12/2013,,,,LOCAL)&lt;/Q&gt;&lt;R&gt;1&lt;/R&gt;&lt;C&gt;1&lt;/C&gt;&lt;D xsi:type="xsd:double"&gt;2688.5&lt;/D&gt;&lt;/FQL&gt;&lt;FQL&gt;&lt;Q&gt;UNM^FF_DEBT(,12/2014,,,,LOCAL)&lt;/Q&gt;&lt;R&gt;1&lt;/R&gt;&lt;C&gt;1&lt;/C&gt;&lt;D xsi:type="xsd:double"&gt;2780.6&lt;/D&gt;&lt;/FQL&gt;&lt;FQL&gt;&lt;Q&gt;UNM^FF_DEBT(,12/2015,,,,LOCAL)&lt;/Q&gt;&lt;R&gt;1&lt;/R&gt;&lt;C&gt;1&lt;/C&gt;&lt;D xsi:type="xsd:double"&gt;2801.4&lt;/D&gt;&lt;/FQL&gt;&lt;FQL&gt;&lt;Q&gt;UNM^FF_DEBT(,12/2016,,,,LOCAL)&lt;/Q&gt;&lt;R&gt;1&lt;/R&gt;&lt;C&gt;1&lt;/C&gt;&lt;D xsi:type="xsd:double"&gt;2999.4&lt;/D&gt;&lt;/FQL&gt;&lt;FQL&gt;&lt;Q&gt;UNM^FF_DEBT(,12/2017,,,,LOCAL)&lt;/Q&gt;&lt;R&gt;1&lt;/R&gt;&lt;C&gt;1&lt;/C&gt;&lt;D xsi:type="xsd:double"&gt;2938.3&lt;/D&gt;&lt;/FQL&gt;&lt;FQL&gt;&lt;Q&gt;UNM^FF_DEBT(,12/2018,,,,LOCAL)&lt;/Q&gt;&lt;R&gt;1&lt;/R&gt;&lt;C&gt;1&lt;/C&gt;&lt;D xsi:type="xsd:double"&gt;2971.3&lt;/D&gt;&lt;/FQL&gt;&lt;FQL&gt;&lt;Q&gt;UNM^FF_DEBT(,12/2019,,,,LOCAL)&lt;/Q&gt;&lt;R&gt;1&lt;/R&gt;&lt;C&gt;1&lt;/C&gt;&lt;D xsi:type="xsd:double"&gt;3441.3&lt;/D&gt;&lt;/FQL&gt;&lt;FQL&gt;&lt;Q&gt;UNM^FF_DEBT(,12/2020,,,,LOCAL)&lt;/Q&gt;&lt;R&gt;1&lt;/R&gt;&lt;C&gt;1&lt;/C&gt;&lt;D xsi:type="xsd:double"&gt;3451.6&lt;/D&gt;&lt;/FQL&gt;&lt;FQL&gt;&lt;Q&gt;UNM^FF_DEBT(,12/2021,,,,LOCAL)&lt;/Q&gt;&lt;R&gt;1&lt;/R&gt;&lt;C&gt;1&lt;/C&gt;&lt;D xsi:type="xsd:double"&gt;3524.8&lt;/D&gt;&lt;/FQL&gt;&lt;FQL&gt;&lt;Q&gt;UNM^FF_DEBT(,12/2022,,,,LOCAL)&lt;/Q&gt;&lt;R&gt;1&lt;/R&gt;&lt;C&gt;1&lt;/C&gt;&lt;D xsi:type="xsd:double"&gt;3497.7&lt;/D&gt;&lt;/FQL&gt;&lt;FQL&gt;&lt;Q&gt;UNM^FF_LIABS(,12/2012,,,,LOCAL)&lt;/Q&gt;&lt;R&gt;1&lt;/R&gt;&lt;C&gt;1&lt;/C&gt;&lt;D xsi:type="xsd:double"&gt;49470.2&lt;/D&gt;&lt;/FQL&gt;&lt;FQL&gt;&lt;Q&gt;UNM^FF_LIABS(,12/2013,,,,LOCAL)&lt;/Q&gt;&lt;R&gt;1&lt;/R&gt;&lt;C&gt;1&lt;/C&gt;&lt;D xsi:type="xsd:double"&gt;47272.7&lt;/D&gt;&lt;/FQL&gt;&lt;FQL&gt;&lt;Q&gt;UNM^FF_LIABS(,12/2014,,,,LOCAL)&lt;/Q&gt;&lt;R&gt;1&lt;/R&gt;&lt;C&gt;1&lt;/C&gt;&lt;D xsi:type="xsd:double"&gt;51200.3&lt;/D&gt;&lt;/FQL&gt;&lt;FQL&gt;&lt;Q&gt;UNM^FF_LIABS(,12/2015,,,,LOCAL)&lt;/Q&gt;&lt;R&gt;1&lt;/R&gt;&lt;C&gt;1&lt;/C&gt;&lt;D xsi:type="xsd:double"&gt;48494.1&lt;/D&gt;&lt;/FQL&gt;&lt;FQL&gt;&lt;Q&gt;UNM^FF_LIABS(,12/2016,,,,LOCAL)&lt;/Q&gt;&lt;R&gt;1&lt;/R&gt;&lt;C&gt;1&lt;/C&gt;&lt;D xsi:type="xsd:double"&gt;49730.7&lt;/D&gt;&lt;/FQL&gt;&lt;FQL&gt;&lt;Q&gt;UNM^FF_LIABS(,12/2017,,,,LOCAL)&lt;/Q&gt;&lt;R&gt;1&lt;/R&gt;&lt;C&gt;1&lt;/C&gt;&lt;D xsi:type="xsd:double"&gt;50647.7&lt;/D&gt;&lt;/FQL&gt;&lt;FQL&gt;&lt;Q&gt;UNM^FF_LIABS(,12/2018,,,,LOCAL)&lt;/Q&gt;&lt;R&gt;1&lt;/R&gt;&lt;C&gt;1&lt;/C&gt;&lt;D xsi:type="xsd:double"&gt;49328.8&lt;/D&gt;&lt;/FQL&gt;&lt;FQL&gt;&lt;Q&gt;UNM^FF_LIABS(,12/2019,,,,LOCAL)&lt;/Q&gt;&lt;R&gt;1&lt;/R&gt;&lt;C&gt;1&lt;/C&gt;&lt;D xsi:type="xsd:double"&gt;53615&lt;/D&gt;&lt;/FQL&gt;&lt;FQL&gt;&lt;Q&gt;UNM^FF_LIABS(,12/2020,,,,LOCAL)&lt;/Q&gt;&lt;R&gt;1&lt;/R&gt;&lt;C&gt;1&lt;/C&gt;&lt;D xsi:type="xsd:double"&gt;49812.5&lt;/D&gt;&lt;/FQL&gt;&lt;FQL&gt;&lt;Q&gt;UNM^FF_LIABS(,12/2021,,,,LOCAL)&lt;/Q&gt;&lt;R&gt;1&lt;/R&gt;&lt;C&gt;1&lt;/C&gt;&lt;D xsi:type="xsd:double"&gt;48113.9&lt;/D&gt;&lt;/FQL&gt;&lt;FQL&gt;&lt;Q&gt;UNM^FF_LIABS(,12/2022,,,,LOCAL)&lt;/Q&gt;&lt;R&gt;1&lt;/R&gt;&lt;C&gt;1&lt;/C&gt;&lt;D xsi:type="xsd:double"&gt;41703&lt;/D&gt;&lt;/FQL&gt;&lt;FQL&gt;&lt;Q&gt;UNM^FF_PFD_STK(,12/2012,,,,LOCAL)&lt;/Q&gt;&lt;R&gt;1&lt;/R&gt;&lt;C&gt;1&lt;/C&gt;&lt;D xsi:type="xsd:double"&gt;0&lt;/D&gt;&lt;/FQL&gt;&lt;FQL&gt;&lt;Q&gt;UNM^FF_PFD_STK(,12/2013,,,,LOCAL)&lt;/Q&gt;&lt;R&gt;1&lt;/R&gt;&lt;C&gt;1&lt;/C&gt;&lt;D xsi:type="xsd:double"&gt;0&lt;/D&gt;&lt;/FQL&gt;&lt;FQL&gt;&lt;Q&gt;UNM^FF_PFD_STK(,12/2014,,,,LOCAL)&lt;/Q&gt;&lt;R&gt;1&lt;/R&gt;&lt;C&gt;1&lt;/C&gt;&lt;D xsi:type="xsd:double"&gt;0&lt;/D&gt;&lt;/FQL&gt;&lt;FQL&gt;&lt;Q&gt;UNM^FF_PFD_STK(,12/2015,,,,LOCAL)&lt;/Q&gt;&lt;R&gt;1&lt;/R&gt;&lt;C&gt;1&lt;/C&gt;&lt;D xsi:type="xsd:double"&gt;0&lt;/D&gt;&lt;/FQL&gt;&lt;FQL&gt;&lt;Q&gt;UNM^FF_PFD_STK(,12/2016,,,,LOCAL)&lt;/Q&gt;&lt;R&gt;1&lt;/R&gt;&lt;C&gt;1&lt;/C&gt;&lt;D xsi:type="xsd:double"&gt;0&lt;/D&gt;&lt;/FQL&gt;&lt;FQL&gt;&lt;Q&gt;UNM^FF_PFD_STK(,12/2017,,,,LOCAL)&lt;/Q&gt;&lt;R&gt;1&lt;/R&gt;&lt;C&gt;1&lt;/C&gt;&lt;D xsi:type="xsd:double"&gt;0&lt;/D&gt;&lt;/FQL&gt;&lt;FQL&gt;&lt;Q&gt;UNM^FF_PFD_STK(,12/2018,,,,LOCAL)&lt;/Q&gt;&lt;R&gt;1&lt;/R&gt;&lt;C&gt;1&lt;/C&gt;&lt;D xsi:type="xsd:double"&gt;0&lt;/D&gt;&lt;/FQL&gt;&lt;FQL&gt;&lt;Q&gt;UNM^FF_PFD_STK(,12/2019,,,,LOCAL)&lt;/Q&gt;&lt;R&gt;1&lt;/R&gt;&lt;C&gt;1&lt;/C&gt;&lt;D xsi:type="xsd:double"&gt;0&lt;/D&gt;&lt;/FQL&gt;&lt;FQL&gt;&lt;Q&gt;UNM^FF_PFD_STK(,12/2020,,,,LOCAL)&lt;/Q&gt;&lt;R&gt;1&lt;/R&gt;&lt;C&gt;1&lt;/C&gt;&lt;D xsi:type="xsd:double"&gt;0&lt;/D&gt;&lt;/FQL&gt;&lt;FQL&gt;&lt;Q&gt;UNM^FF_PFD_STK(,12/2021,,,,LOCAL)&lt;/Q&gt;&lt;R&gt;1&lt;/R&gt;&lt;C&gt;1&lt;/C&gt;&lt;D xsi:type="xsd:double"&gt;0&lt;/D&gt;&lt;/FQL&gt;&lt;FQL&gt;&lt;Q&gt;UNM^FF_PFD_STK(,12/2022,,,,LOCAL)&lt;/Q&gt;&lt;R&gt;1&lt;/R&gt;&lt;C&gt;1&lt;/C&gt;&lt;D xsi:type="xsd:double"&gt;0&lt;/D&gt;&lt;/FQL&gt;&lt;FQL&gt;&lt;Q&gt;UNM^FF_SHLDRS_EQ(,12/2012,,,,LOCAL)&lt;/Q&gt;&lt;R&gt;1&lt;/R&gt;&lt;C&gt;1&lt;/C&gt;&lt;D xsi:type="xsd:double"&gt;8612.6&lt;/D&gt;&lt;/FQL&gt;&lt;FQL&gt;&lt;Q&gt;UNM^FF_SHLDRS_EQ(,12/2013,,,,LOCAL)&lt;/Q&gt;&lt;R&gt;1&lt;/R&gt;&lt;C&gt;1&lt;/C&gt;&lt;D xsi:type="xsd:double"&gt;8659.1&lt;/D&gt;&lt;/FQL&gt;&lt;FQL&gt;&lt;Q&gt;UNM^FF_SHLDRS_EQ(,12/2014,,,,LOCAL)&lt;/Q&gt;&lt;R&gt;1&lt;/R&gt;&lt;C&gt;1&lt;/C&gt;&lt;D xsi:type="xsd:double"&gt;8521.9&lt;/D&gt;&lt;/FQL&gt;&lt;FQL&gt;&lt;Q&gt;UNM^FF_SHLDRS_EQ(,12/2015,,,,LOCAL)&lt;/Q&gt;&lt;R&gt;1&lt;/R&gt;&lt;C&gt;1&lt;/C&gt;&lt;D xsi:type="xsd:double"&gt;8663.9&lt;/D&gt;&lt;/FQL&gt;&lt;FQL&gt;&lt;Q&gt;UNM^FF_SHLDRS_EQ(,12/2016,,,,LOCAL)&lt;/Q&gt;&lt;R&gt;1&lt;/R&gt;&lt;C&gt;1&lt;/C&gt;&lt;D xsi:type="xsd:double"&gt;8968&lt;/D&gt;&lt;/FQL&gt;&lt;FQL&gt;&lt;Q&gt;UNM^FF_SHLDRS_EQ(,12/2017,,,,LOCAL)&lt;/Q&gt;&lt;R&gt;1&lt;/R&gt;&lt;C&gt;1&lt;/C&gt;&lt;D xsi:type="xsd:double"&gt;9574.9&lt;/D&gt;&lt;/FQL&gt;&lt;FQL&gt;&lt;Q&gt;UNM^FF_SHLDRS_EQ(,12/2018,,,,LOCAL)&lt;/Q&gt;&lt;R&gt;1&lt;/R&gt;&lt;C&gt;1&lt;/C&gt;&lt;D xsi:type="xsd:double"&gt;8621.8&lt;/D&gt;&lt;/FQL&gt;&lt;FQL&gt;&lt;Q&gt;UNM^FF_SHLDRS_EQ(,12/2019,,,,LOCAL)&lt;/Q&gt;&lt;R&gt;1&lt;/R&gt;&lt;C&gt;1&lt;/C&gt;&lt;D xsi:type="xsd:double"&gt;9965&lt;/D&gt;&lt;/FQL&gt;&lt;FQL&gt;&lt;Q&gt;UNM^FF_SHLDRS_EQ(,12/2020,,,,LOCAL)&lt;/Q&gt;&lt;R&gt;1&lt;/R&gt;&lt;C&gt;1&lt;/C&gt;&lt;D xsi:type="xsd:double"&gt;10871&lt;/D&gt;&lt;/FQL&gt;&lt;FQL&gt;&lt;Q&gt;UNM^FF_SHLDRS_EQ(,12/2021,,,,LOCAL)&lt;/Q&gt;&lt;R&gt;1&lt;/R&gt;&lt;C&gt;1&lt;/C&gt;&lt;D xsi:type="xsd:double"&gt;11416.4&lt;/D&gt;&lt;/FQL&gt;&lt;FQL&gt;&lt;Q&gt;UNM^FF_SHLDRS_EQ(,12/2022,,,,LOCAL)&lt;/Q&gt;&lt;R&gt;1&lt;/R&gt;&lt;C&gt;1&lt;/C&gt;&lt;D xsi:type="xsd:double"&gt;9197.5&lt;/D&gt;&lt;/FQL&gt;&lt;FQL&gt;&lt;Q&gt;UNM^FF_LIABS_SHLDRS_EQ(,12/2012,,,,LOCAL)&lt;/Q&gt;&lt;R&gt;1&lt;/R&gt;&lt;C&gt;1&lt;/C&gt;&lt;D xsi:type="xsd:double"&gt;58082.8&lt;/D&gt;&lt;/FQL&gt;&lt;FQL&gt;&lt;Q&gt;UNM^FF_LIABS_SHLDRS_EQ(,12/2013,,,,LOCAL)&lt;/Q&gt;&lt;R&gt;1&lt;/R&gt;&lt;C&gt;1&lt;/C&gt;&lt;D xsi:type="xsd:double"&gt;55931.8&lt;/D&gt;&lt;/FQL&gt;&lt;FQL&gt;&lt;Q&gt;UNM^FF_LIABS_SHLDRS_EQ(,12/2014,,,,LOCAL)&lt;/Q&gt;&lt;R&gt;1&lt;/R&gt;&lt;C&gt;1&lt;/C&gt;&lt;D xsi:type="xsd:double"&gt;59722.2&lt;/D&gt;&lt;/FQL&gt;&lt;FQL&gt;&lt;Q&gt;UNM^FF_LIABS_SHLDRS_EQ(,12/2015,,,,LOCAL)&lt;/Q&gt;&lt;R&gt;1&lt;/R&gt;&lt;C&gt;1&lt;/C&gt;&lt;D xsi:type="xsd:double"&gt;57158&lt;/D&gt;&lt;/FQL&gt;&lt;FQL&gt;&lt;Q&gt;UNM^FF_LIABS_SHLDRS_EQ(,12/2016,,,,LOCAL)&lt;/Q&gt;&lt;R&gt;1&lt;/R&gt;&lt;C&gt;1&lt;/C&gt;&lt;D xsi:type="xsd:double"&gt;58698.7&lt;/D&gt;&lt;/FQL&gt;&lt;FQL&gt;&lt;Q&gt;UNM^FF_LIABS_SHLDRS_EQ(,12/2017,,,,LOCAL)&lt;/Q&gt;&lt;R&gt;1&lt;/R&gt;&lt;C&gt;1&lt;/C&gt;&lt;D xsi:type="xsd:double"&gt;60222.6&lt;/D&gt;&lt;/FQL&gt;&lt;FQL&gt;&lt;Q&gt;UNM^FF_LIABS_SHLDRS_EQ(,12/2018,,,,LOCAL)&lt;/Q&gt;&lt;R&gt;1&lt;/R&gt;&lt;C&gt;1&lt;/C&gt;&lt;D xsi:type="xsd:double"&gt;57950.6&lt;/D&gt;&lt;/FQL&gt;&lt;FQL&gt;&lt;Q&gt;UNM^FF_LIABS_SHLDRS_EQ(,12/2019,,,,LOCAL)&lt;/Q&gt;&lt;R&gt;1&lt;/R&gt;&lt;C&gt;1&lt;/C&gt;&lt;D xsi:type="xsd:double"&gt;63580&lt;/D&gt;&lt;/FQL&gt;&lt;FQL&gt;&lt;Q&gt;UNM^FF_LIABS_SHLDRS_EQ(,12/2020,,,,LOCAL)&lt;/Q&gt;&lt;R&gt;1&lt;/R&gt;&lt;C&gt;1&lt;/C&gt;&lt;D xsi:type="xsd:double"&gt;60683.5&lt;/D&gt;&lt;/FQL&gt;&lt;FQL&gt;&lt;Q&gt;UNM^FF_LIABS_SHLDRS_EQ(,12/2021,,,,LOCAL)&lt;/Q&gt;&lt;R&gt;1&lt;/R&gt;&lt;C&gt;1&lt;/C&gt;&lt;D xsi:type="xsd:double"&gt;59530.3&lt;/D&gt;&lt;/FQL&gt;&lt;FQL&gt;&lt;Q&gt;UNM^FF_LIABS_SHLDRS_EQ(,12/2022,,,,LOCAL)&lt;/Q&gt;&lt;R&gt;1&lt;/R&gt;&lt;C&gt;1&lt;/C&gt;&lt;D xsi:type="xsd:double"&gt;50900.5&lt;/D&gt;&lt;/FQL&gt;&lt;FQL&gt;&lt;Q&gt;UNM^FF_NET_INC_CF(,12/2012,,,,LOCAL)&lt;/Q&gt;&lt;R&gt;0&lt;/R&gt;&lt;C&gt;0&lt;/C&gt;&lt;/FQL&gt;&lt;FQL&gt;&lt;Q&gt;UNM^FF_NET_INC_CF(,12/2013,,,,LOCAL)&lt;/Q&gt;&lt;R&gt;0&lt;/R&gt;&lt;C&gt;0&lt;/C&gt;&lt;/FQL&gt;&lt;FQL&gt;&lt;Q&gt;UNM^FF_NET_INC_CF(,12/2014,,,,LOCAL)&lt;/Q&gt;&lt;R&gt;0&lt;/R&gt;&lt;C&gt;0&lt;/C&gt;&lt;/FQL&gt;&lt;FQL&gt;&lt;Q&gt;UNM^FF_NET_INC_CF(,12/2015,,,,LOCAL)&lt;/Q&gt;&lt;R&gt;0&lt;/R&gt;&lt;C&gt;0&lt;/C&gt;&lt;/FQL&gt;&lt;FQL&gt;&lt;Q&gt;UNM^FF_NET_INC_CF(,12/2016,,,,LOCAL)&lt;/Q&gt;&lt;R&gt;0&lt;/R&gt;&lt;C&gt;0&lt;/C&gt;&lt;/FQL&gt;&lt;FQL&gt;&lt;Q&gt;UNM^FF_NET_INC_CF(,12/2017,,,,LOCAL)&lt;/Q&gt;&lt;R&gt;0&lt;/R&gt;&lt;C&gt;0&lt;/C&gt;&lt;/FQL&gt;&lt;FQL&gt;&lt;Q&gt;UNM^FF_NET_INC_CF(,12/2018,,,,LOCAL)&lt;/Q&gt;&lt;R&gt;0&lt;/R&gt;&lt;C&gt;0&lt;/C&gt;&lt;/FQL&gt;&lt;FQL&gt;&lt;Q&gt;UNM^FF_NET_INC_CF(,12/2019,,,,LOCAL)&lt;/Q&gt;&lt;R&gt;0&lt;/R&gt;&lt;C&gt;0&lt;/C&gt;&lt;/FQL&gt;&lt;FQL&gt;&lt;Q&gt;UNM^FF_NET_INC_CF(,12/2020,,,,LOCAL)&lt;/Q&gt;&lt;R&gt;0&lt;/R&gt;&lt;C&gt;0&lt;/C&gt;&lt;/FQL&gt;&lt;FQL&gt;&lt;Q&gt;UNM^FF_NET_INC_CF(,12/2021,,,,LOCAL)&lt;/Q&gt;&lt;R&gt;0&lt;/R&gt;&lt;C&gt;0&lt;/C&gt;&lt;/FQL&gt;&lt;FQL&gt;&lt;Q&gt;UNM^FF_NET_INC_CF(,12/2022,,,,LOCAL)&lt;/Q&gt;&lt;R&gt;0&lt;/R&gt;&lt;C&gt;0&lt;/C&gt;&lt;/FQL&gt;&lt;FQL&gt;&lt;Q&gt;UNM^FF_DEP_EXP_XAMORT_CF(,12/2012,,,,LOCAL)&lt;/Q&gt;&lt;R&gt;1&lt;/R&gt;&lt;C&gt;1&lt;/C&gt;&lt;D xsi:type="xsd:double"&gt;84.3&lt;/D&gt;&lt;/FQL&gt;&lt;FQL&gt;&lt;Q&gt;UNM^FF_DEP_EXP_XAMORT_CF(,12/2013,,,,LOCAL)&lt;/Q&gt;&lt;R&gt;1&lt;/R&gt;&lt;C&gt;1&lt;/C&gt;&lt;D xsi:type="xsd:double"&gt;84.8&lt;/D&gt;&lt;/FQL&gt;&lt;FQL&gt;&lt;Q&gt;UNM^FF_DEP_EXP_XAMORT_CF(,12/2014,,,,LOCAL)&lt;/Q&gt;&lt;R&gt;1&lt;/R&gt;&lt;C&gt;1&lt;/C&gt;&lt;D xsi:type="xsd:double"&gt;87.9&lt;/D&gt;&lt;/FQL&gt;&lt;FQL&gt;&lt;Q&gt;UNM^FF_DEP_EXP_XAMORT_CF(,12/2015,,,,LOCAL)&lt;/Q&gt;&lt;R&gt;1&lt;/R&gt;&lt;C&gt;1&lt;/C&gt;&lt;D xsi:type="xsd:double"&gt;99.5&lt;/D&gt;&lt;/FQL&gt;&lt;FQL&gt;&lt;Q&gt;UNM^FF_DEP_EXP_XAMORT_CF(,12/2016,,,,LOCAL)&lt;/Q&gt;&lt;R&gt;1&lt;/R&gt;&lt;C&gt;1&lt;/C&gt;&lt;D xsi:type="xsd:double"&gt;101.7&lt;/D&gt;&lt;/FQL&gt;&lt;FQL&gt;&lt;Q&gt;UNM^FF_DEP_EXP_XAMORT_CF(,12/2017,,,,LOCAL)&lt;/Q&gt;&lt;R&gt;1&lt;/R&gt;&lt;C&gt;1&lt;/C&gt;&lt;D xsi:type="xsd:double"&gt;103.4&lt;/D&gt;&lt;/FQL&gt;&lt;FQL&gt;&lt;Q&gt;UNM^FF_DEP_EXP_XAMORT_CF(,12/2018,,,,LOCAL)&lt;/Q&gt;&lt;R&gt;1&lt;/R&gt;&lt;C&gt;1&lt;/C&gt;&lt;D xsi:type="xsd:double"&gt;101.4&lt;/D&gt;&lt;/FQL&gt;&lt;FQL&gt;&lt;Q&gt;UNM^FF_DEP_EXP_XAMORT_CF(,12/2019,,,,LOCAL)&lt;/Q&gt;&lt;R&gt;1&lt;/R&gt;&lt;C&gt;1&lt;/C&gt;&lt;D xsi:type="xsd:double"&gt;110.1&lt;/D&gt;&lt;/FQL&gt;&lt;FQL&gt;&lt;Q&gt;UNM^FF_DEP_EXP_XAMORT_CF(,12/2020,,,,LOCAL)&lt;/Q&gt;&lt;R&gt;1&lt;/R&gt;&lt;C&gt;1&lt;/C&gt;&lt;D xsi:type="xsd:double"&gt;113.6&lt;/D&gt;&lt;/FQL&gt;&lt;FQL&gt;&lt;Q&gt;UNM^FF_DEP_EXP_XAMORT_CF(,12/2021,,,,LOCAL)&lt;/Q&gt;&lt;R&gt;1&lt;/R&gt;&lt;C&gt;1&lt;/C&gt;&lt;D xsi:type="xsd:double"&gt;119.8&lt;/D&gt;&lt;/FQL&gt;&lt;FQL&gt;&lt;Q&gt;UNM^FF_DEP_EXP_XAMORT_CF(,12/2022,,,,LOCAL)&lt;/Q&gt;&lt;R&gt;1&lt;/R&gt;&lt;C&gt;1&lt;/C&gt;&lt;D xsi:type="xsd:double"&gt;110.5&lt;/D&gt;&lt;/FQL&gt;&lt;FQL&gt;&lt;Q&gt;UNM^FF_AMORT_CF(,12/2012,,,,LOCAL)&lt;/Q&gt;&lt;R&gt;0&lt;/R&gt;&lt;C&gt;0&lt;/C&gt;&lt;/FQL&gt;&lt;FQL&gt;&lt;Q&gt;UNM^FF_AMORT_CF(,12/2013,,,,LOCAL)&lt;/Q&gt;&lt;R&gt;0&lt;/R&gt;&lt;C&gt;0&lt;/C&gt;&lt;/FQL&gt;&lt;FQL&gt;&lt;Q&gt;UNM^FF_AMORT_CF(,12/2014,,,,LOCAL)&lt;/Q&gt;&lt;R&gt;0&lt;/R&gt;&lt;C&gt;0&lt;/C&gt;&lt;/FQL&gt;&lt;FQL&gt;&lt;Q&gt;UNM^FF_AMORT_CF(,12/2015,,,,LOCAL)&lt;/Q&gt;&lt;R&gt;0&lt;/R&gt;&lt;C&gt;0&lt;/C&gt;&lt;/FQL&gt;&lt;FQL&gt;&lt;Q&gt;UNM^FF_AMORT_CF(,12/2016,,,,LOCAL)&lt;/Q&gt;&lt;R&gt;0&lt;/R&gt;&lt;C&gt;0&lt;/C&gt;&lt;/FQL&gt;&lt;FQL&gt;&lt;Q&gt;UNM^FF_AMORT_CF(,12/2017,,,,LOCAL)&lt;/Q&gt;&lt;R&gt;0&lt;/R&gt;&lt;C&gt;0&lt;/C&gt;&lt;/FQL&gt;&lt;FQL&gt;&lt;Q&gt;UNM^FF_AMORT_CF(,12/2018,,,,LOCAL)&lt;/Q&gt;&lt;R&gt;0&lt;/R&gt;&lt;C&gt;0&lt;/C&gt;&lt;/FQL&gt;&lt;FQL&gt;&lt;Q&gt;UNM^FF_AMORT_CF(,12/2019,,,,LOCAL)&lt;/Q&gt;&lt;R&gt;0&lt;/R&gt;&lt;C&gt;0&lt;/C&gt;&lt;/FQL&gt;&lt;FQL&gt;&lt;Q&gt;UNM^FF_AMORT_CF(,12/2020,,,,LOCAL)&lt;/Q&gt;&lt;R&gt;0&lt;/R&gt;&lt;C&gt;0&lt;/C&gt;&lt;/FQL&gt;&lt;FQL&gt;&lt;Q&gt;UNM^FF_AMORT_CF(,12/2021,,,,LOCAL)&lt;/Q&gt;&lt;R&gt;0&lt;/R&gt;&lt;C&gt;0&lt;/C&gt;&lt;/FQL&gt;&lt;FQL&gt;&lt;Q&gt;UNM^FF_AMORT_CF(,12/2022,,,,LOCAL)&lt;/Q&gt;&lt;R&gt;0&lt;/R&gt;&lt;C&gt;0&lt;/C&gt;&lt;/FQL&gt;&lt;FQL&gt;&lt;Q&gt;UNM^FF_DFD_TAX_CF(,12/2012,,,,LOCAL)&lt;/Q&gt;&lt;R&gt;0&lt;/R&gt;&lt;C&gt;0&lt;/C&gt;&lt;/FQL&gt;&lt;FQL&gt;&lt;Q&gt;UNM^FF_DFD_TAX_CF(,12/2013,,,,LOCAL)&lt;/Q&gt;&lt;R&gt;0&lt;/R&gt;&lt;C&gt;0&lt;/C&gt;&lt;/FQL&gt;&lt;FQL&gt;&lt;Q&gt;UNM^FF_DFD_TAX_CF(,12/2014,,,,LOCAL)&lt;/Q&gt;&lt;R&gt;0&lt;/R&gt;&lt;C&gt;0&lt;/C&gt;&lt;/FQL&gt;&lt;FQL&gt;&lt;Q&gt;UNM^FF_DFD_TAX_CF(,12/2015,,,,LOCAL)&lt;/Q&gt;&lt;R&gt;0&lt;/R&gt;&lt;C&gt;0&lt;/C&gt;&lt;/FQL&gt;&lt;FQL&gt;&lt;Q&gt;UNM^FF_DFD_TAX_CF(,12/2016,,,,LOCAL)&lt;/Q&gt;&lt;R&gt;0&lt;/R&gt;&lt;C&gt;0&lt;/C&gt;&lt;/FQL&gt;&lt;FQL&gt;&lt;Q&gt;UNM^FF_DFD_TAX_CF(,12/2017,,,,LOCAL)&lt;/Q&gt;&lt;R&gt;0&lt;/R&gt;&lt;C&gt;0&lt;/C&gt;&lt;/FQL&gt;&lt;FQL&gt;&lt;Q&gt;UNM^FF_DFD_TAX_CF(,12/2018,,,,LOCAL)&lt;/Q&gt;&lt;R&gt;0&lt;/R&gt;&lt;C&gt;0&lt;/C&gt;&lt;/FQL&gt;&lt;FQL&gt;&lt;Q&gt;UNM^FF_DFD_TAX_CF(,12/2019,,,,LOCAL)&lt;/Q&gt;&lt;R&gt;0&lt;/R&gt;&lt;C&gt;0&lt;/C&gt;&lt;/FQL&gt;&lt;FQL&gt;&lt;Q&gt;UNM^FF_DFD_TAX_CF(,12/2020,,,,LOCAL)&lt;/Q&gt;&lt;R&gt;0&lt;/R&gt;&lt;C&gt;0&lt;/C&gt;&lt;/FQL&gt;&lt;FQL&gt;&lt;Q&gt;UNM^FF_DFD_TAX_CF(,12/2021,,,,LOCAL)&lt;/Q&gt;&lt;R&gt;0&lt;/R&gt;&lt;C&gt;0&lt;/C&gt;&lt;/FQL&gt;&lt;FQL&gt;&lt;Q&gt;UNM^FF_DFD_TAX_CF(,12/2022,,,,LOCAL)&lt;/Q&gt;&lt;R&gt;0&lt;/R&gt;&lt;C&gt;0&lt;/C&gt;&lt;/FQL&gt;&lt;FQL&gt;&lt;Q&gt;UNM^FF_NON_CASH(,12/2012,,,,LOCAL)&lt;/Q&gt;&lt;R&gt;0&lt;/R&gt;&lt;C&gt;0&lt;/C&gt;&lt;/FQL&gt;&lt;FQL&gt;&lt;Q&gt;UNM^FF_NON_CASH(,12/2013,,,,LOCAL)&lt;/Q&gt;&lt;R&gt;0&lt;/R&gt;&lt;C&gt;0&lt;/C&gt;&lt;/FQL&gt;&lt;FQL&gt;&lt;Q&gt;UNM^FF_NON_CASH(,12/2014,,,,LOCAL)&lt;/Q&gt;&lt;R&gt;0&lt;/R&gt;&lt;C&gt;0&lt;/C&gt;&lt;/FQL&gt;&lt;FQL&gt;&lt;Q&gt;UNM^FF_NON_CASH(,12/2015,,,,LOCAL)&lt;/Q&gt;&lt;R&gt;0&lt;/R&gt;&lt;C&gt;0&lt;/C&gt;&lt;/FQL&gt;&lt;FQL&gt;&lt;Q&gt;UNM^FF_NON_CASH(,12/2016,,,,LOCAL)&lt;/Q&gt;&lt;R&gt;0&lt;/R&gt;&lt;C&gt;0&lt;/C&gt;&lt;/FQL&gt;&lt;FQL&gt;&lt;Q&gt;UNM^FF_NON_CASH(,12/2017,,,,LOCAL)&lt;/Q&gt;&lt;R&gt;0&lt;/R&gt;&lt;C&gt;0&lt;/C&gt;&lt;/FQL&gt;&lt;FQL&gt;&lt;Q&gt;UNM^FF_NON_CASH(,12/2018,,,,LOCAL)&lt;/Q&gt;&lt;R&gt;0&lt;/R&gt;&lt;C&gt;0&lt;/C&gt;&lt;/FQL&gt;&lt;FQL&gt;&lt;Q&gt;UNM^FF_NON_CASH(,12/2019,,,,LOCAL)&lt;/Q&gt;&lt;R&gt;0&lt;/R&gt;&lt;C&gt;0&lt;/C&gt;&lt;/FQL&gt;&lt;FQL&gt;&lt;Q&gt;UNM^FF_NON_CASH(,12/2020,,,,LOCAL)&lt;/Q&gt;&lt;R&gt;0&lt;/R&gt;&lt;C&gt;0&lt;/C&gt;&lt;/FQL&gt;&lt;FQL&gt;&lt;Q&gt;UNM^FF_NON_CASH(,12/2021,,,,LOCAL)&lt;/Q&gt;&lt;R&gt;0&lt;/R&gt;&lt;C&gt;0&lt;/C&gt;&lt;/FQL&gt;&lt;FQL&gt;&lt;Q&gt;UNM^FF_NON_CASH(,12/2022,,,,LOCAL)&lt;/Q&gt;&lt;R&gt;0&lt;/R&gt;&lt;C&gt;0&lt;/C&gt;&lt;/FQL&gt;&lt;FQL&gt;&lt;Q&gt;UNM^FF_WKCAP_CHG(,12/2012,,,,LOCAL)&lt;/Q&gt;&lt;R&gt;1&lt;/R&gt;&lt;C&gt;1&lt;/C&gt;&lt;D xsi:type="xsd:double"&gt;678.4&lt;/D&gt;&lt;/FQL&gt;&lt;FQL&gt;&lt;Q&gt;UNM^FF_WKCAP_CHG(,12/2013,,,,LOCAL)&lt;/Q&gt;&lt;R&gt;1&lt;/R&gt;&lt;C&gt;1&lt;/C&gt;&lt;D xsi:type="xsd:double"&gt;306.9&lt;/D&gt;&lt;/FQL&gt;&lt;FQL&gt;&lt;Q&gt;UNM^FF_WKCAP_CHG(,12/2014,,,,LOCAL)&lt;/Q&gt;&lt;R&gt;1&lt;/R&gt;&lt;C&gt;1&lt;/C&gt;&lt;D xsi:type="xsd:double"&gt;945.4&lt;/D&gt;&lt;/FQL&gt;&lt;FQL&gt;&lt;Q&gt;UNM^FF_WKCAP_CHG(,12/2015,,,,LOCAL)&lt;/Q&gt;&lt;R&gt;1&lt;/R&gt;&lt;C&gt;1&lt;/C&gt;&lt;D xsi:type="xsd:double"&gt;475.8&lt;/D&gt;&lt;/FQL&gt;&lt;FQL&gt;&lt;Q&gt;UNM^FF_WKCAP_CHG(,12/2016,,,,LOCAL)&lt;/Q&gt;&lt;R&gt;1&lt;/R&gt;&lt;C&gt;1&lt;/C&gt;&lt;D xsi:type="xsd:double"&gt;294.9&lt;/D&gt;&lt;/FQL&gt;&lt;FQL&gt;&lt;Q&gt;UNM^FF_WKCAP_CHG(,12/2017,,,,LOCAL)&lt;/Q&gt;&lt;R&gt;1&lt;/R&gt;&lt;C&gt;1&lt;/C&gt;&lt;D xsi:type="xsd:double"&gt;306.9&lt;/D&gt;&lt;/FQL&gt;&lt;FQL&gt;&lt;Q&gt;UNM^FF_WKCAP_CHG(,12/2018,,,,LOCAL)&lt;/Q&gt;&lt;R&gt;1&lt;/R&gt;&lt;C&gt;1&lt;/C&gt;&lt;D xsi:type="xsd:double"&gt;1083.3&lt;/D&gt;&lt;/FQL&gt;&lt;FQL&gt;&lt;Q&gt;UNM^FF_WKCAP_CHG(,12/2019,,,,LOCAL)&lt;/Q&gt;&lt;R&gt;1&lt;/R&gt;&lt;C&gt;1&lt;/C&gt;&lt;D xsi:type="xsd:double"&gt;745.9&lt;/D&gt;&lt;/FQL&gt;&lt;FQL&gt;&lt;Q&gt;UNM^FF_WKCAP_CHG(,12/2020,,,,LOCAL)&lt;/Q&gt;&lt;R&gt;1&lt;/R&gt;&lt;C&gt;1&lt;/C&gt;&lt;D xsi:type="xsd:double"&gt;2095.1&lt;/D&gt;&lt;/FQL&gt;&lt;FQL&gt;&lt;Q&gt;UNM^FF_WKCAP_CHG(,12/2021,,,,LOCAL)&lt;/Q&gt;&lt;R&gt;1&lt;/R&gt;&lt;C&gt;1&lt;/C&gt;&lt;D xsi:type="xsd:double"&gt;1152.6&lt;/D&gt;&lt;/FQL&gt;&lt;FQL&gt;&lt;Q&gt;UNM^FF_WKCAP_CHG(,12/2022,,,,LOCAL)&lt;/Q&gt;&lt;R&gt;1&lt;/R&gt;&lt;C&gt;1&lt;/C&gt;&lt;D xsi:type="xsd:double"&gt;161.5&lt;/D&gt;&lt;/FQL&gt;&lt;FQL&gt;&lt;Q&gt;UNM^FF_OPER_CF(,12/2012,,,,LOCAL)&lt;/Q&gt;&lt;R&gt;1&lt;/R&gt;&lt;C&gt;1&lt;/C&gt;&lt;D xsi:type="xsd:double"&gt;1379.6&lt;/D&gt;&lt;/FQL&gt;&lt;FQL&gt;&lt;Q&gt;UNM^FF_OPER_CF(,12/2013,,,,LOCAL)&lt;/Q&gt;&lt;R&gt;1&lt;/R&gt;&lt;C&gt;1&lt;/C&gt;&lt;D xsi:type="xsd:double"&gt;1031.5&lt;/D&gt;&lt;/FQL&gt;&lt;FQL&gt;&lt;Q&gt;UNM^FF_OPER_CF(,12/2014,,,,LOCAL)&lt;/Q&gt;&lt;R&gt;1&lt;/R&gt;&lt;C&gt;1&lt;/C&gt;&lt;D xsi:type="xsd:double"&gt;1223.6&lt;/D&gt;&lt;/FQL&gt;&lt;FQL&gt;&lt;Q&gt;UNM^FF_OPER_CF(,12/2015,,,,LOCAL)&lt;/Q&gt;&lt;R&gt;1&lt;/R&gt;&lt;C&gt;1&lt;/C&gt;&lt;D xsi:type="xsd:double"&gt;1292.1&lt;/D&gt;&lt;/FQL&gt;&lt;FQL&gt;&lt;Q&gt;UNM^FF_OPER_CF(,12/2016,,,,LOCAL)&lt;/Q&gt;&lt;R&gt;1&lt;/R&gt;&lt;C&gt;1&lt;/C&gt;&lt;D xsi:type="xsd:double"&gt;1116.1&lt;/D&gt;&lt;/FQL&gt;&lt;FQL&gt;&lt;Q&gt;UNM^FF_OPER_CF(,12/2017,,,,LOCAL)&lt;/Q&gt;&lt;R&gt;1&lt;/R&gt;&lt;C&gt;1&lt;/C&gt;&lt;D xsi:type="xsd:double"&gt;1164.1&lt;/D&gt;&lt;/FQL&gt;&lt;FQL&gt;&lt;Q&gt;UNM^FF_OPER_CF(,12/2018,,,,LOCAL)&lt;/Q&gt;&lt;R&gt;1&lt;/R&gt;&lt;C&gt;1&lt;/C&gt;&lt;D xsi:type="xsd:double"&gt;1536.5&lt;/D&gt;&lt;/FQL&gt;&lt;FQL&gt;&lt;Q&gt;UNM^FF_OPER_CF(,12/2019,,,,LOCAL)&lt;/Q&gt;&lt;R&gt;1&lt;/R&gt;&lt;C&gt;1&lt;/C&gt;&lt;D xsi:type="xsd:double"&gt;1741.6&lt;/D&gt;&lt;/FQL&gt;&lt;FQL&gt;&lt;Q&gt;UNM^FF_OPER_CF(,12/2020,,,,LOCAL)&lt;/Q&gt;&lt;R&gt;1&lt;/R&gt;&lt;C&gt;1&lt;/C&gt;&lt;D xsi:type="xsd:double"&gt;597.5&lt;/D&gt;&lt;/FQL&gt;&lt;FQL&gt;&lt;Q&gt;UNM^FF_OPER_CF(,12/2021,,,,LOCAL)&lt;/Q&gt;&lt;R&gt;1&lt;/R&gt;&lt;C&gt;1&lt;/C&gt;&lt;D xsi:type="xsd:double"&gt;1387.5&lt;/D&gt;&lt;/FQL&gt;&lt;FQL&gt;&lt;Q&gt;UNM^FF_OPER_CF(,12/2022,,,,LOCAL)&lt;/Q&gt;&lt;R&gt;1&lt;/R&gt;&lt;C&gt;1&lt;/C&gt;&lt;D xsi:type="xsd:double"&gt;1418.7&lt;/D&gt;&lt;/FQL&gt;&lt;FQL&gt;&lt;Q&gt;UNM^FF_CAPEX(,12/2012,,,,LOCAL)&lt;/Q&gt;&lt;R&gt;1&lt;/R&gt;&lt;C&gt;1&lt;/C&gt;&lt;D xsi:type="xsd:double"&gt;0&lt;/D&gt;&lt;/FQL&gt;&lt;FQL&gt;&lt;Q&gt;UNM^FF_CAPEX(,12/2013,,,,LOCAL)&lt;/Q&gt;&lt;R&gt;1&lt;/R&gt;&lt;C&gt;1&lt;/C&gt;&lt;D xsi:type="xsd:double"&gt;105.5&lt;/D&gt;&lt;/FQL&gt;&lt;FQL&gt;&lt;Q&gt;UNM^FF_CAPEX(,12/2014,,,,LOCAL)&lt;/Q&gt;&lt;R&gt;1&lt;/R&gt;&lt;C&gt;1&lt;/C&gt;&lt;D xsi:type="xsd:double"&gt;114.5&lt;/D&gt;&lt;/FQL&gt;&lt;FQL&gt;&lt;Q&gt;UNM^FF_CAPEX(,12/2015,,,,LOCAL)&lt;/Q&gt;&lt;R&gt;1&lt;/R&gt;&lt;C&gt;1&lt;/C&gt;&lt;D xsi:type="xsd:double"&gt;100.2&lt;/D&gt;&lt;/FQL&gt;&lt;FQL&gt;&lt;Q&gt;UNM^FF_CAPEX(,12/2016,,,,LOCAL)&lt;/Q&gt;&lt;R&gt;1&lt;/R&gt;&lt;C&gt;1&lt;/C&gt;&lt;D xsi:type="xsd:double"&gt;85&lt;/D&gt;&lt;/FQL&gt;&lt;FQL&gt;&lt;Q&gt;UNM^FF_CAPEX(,12/2017,,,,LOCAL)&lt;/Q&gt;&lt;R&gt;1&lt;/R&gt;&lt;C&gt;1&lt;/C&gt;&lt;D xsi:type="xsd:double"&gt;105.3&lt;/D&gt;&lt;/FQL&gt;&lt;FQL&gt;&lt;Q&gt;UNM^FF_CAPEX(,12/2018,,,,LOCAL)&lt;/Q&gt;&lt;R&gt;1&lt;/R&gt;&lt;C&gt;1&lt;/C&gt;&lt;D xsi:type="xsd:double"&gt;144.1&lt;/D&gt;&lt;/FQL&gt;&lt;FQL&gt;&lt;Q&gt;UNM^FF_CAPEX(,12/2019,,,,LOCAL)&lt;/Q&gt;&lt;R&gt;1&lt;/R&gt;&lt;C&gt;1&lt;/C&gt;&lt;D xsi:type="xsd:double"&gt;150.9&lt;/D&gt;&lt;/FQL&gt;&lt;FQL&gt;&lt;Q&gt;UNM^FF_CAPEX(,12/2020,,,,LOCAL)&lt;/Q&gt;&lt;R&gt;1&lt;/R&gt;&lt;C&gt;1&lt;/C&gt;&lt;D xsi:type="xsd:double"&gt;119.1&lt;/D&gt;&lt;/FQL&gt;&lt;FQL&gt;&lt;Q&gt;UNM^FF_CAPEX(,12/2021,,,,LOCAL)&lt;/Q&gt;&lt;R&gt;1&lt;/R&gt;&lt;C&gt;1&lt;/C&gt;&lt;D xsi:type="xsd:double"&gt;110.3&lt;/D&gt;&lt;/FQL&gt;&lt;FQL&gt;&lt;Q&gt;UNM^FF_CAPEX(,12/2022,,,,LOCAL)&lt;/Q&gt;&lt;R&gt;1&lt;/R&gt;&lt;C&gt;1&lt;/C&gt;&lt;D xsi:type="xsd:double"&gt;102.2&lt;/D&gt;&lt;/FQL&gt;&lt;FQL&gt;&lt;Q&gt;UNM^FF_ACQ_BUS_CF(ANN_R,12/2012,,,,LOCAL)&lt;/Q&gt;&lt;R&gt;1&lt;/R&gt;&lt;C&gt;1&lt;/C&gt;&lt;D xsi:type="xsd:double"&gt;0&lt;/D&gt;&lt;/FQL&gt;&lt;FQL&gt;&lt;Q&gt;UNM^FF_ACQ_BUS_CF(ANN_R,12/2013,,,,LOCAL)&lt;/Q&gt;&lt;R&gt;1&lt;/R&gt;&lt;C&gt;1&lt;/C&gt;&lt;D xsi:type="xsd:double"&gt;0&lt;/D&gt;&lt;/FQL&gt;&lt;FQL&gt;&lt;Q&gt;UNM^FF_ACQ_BUS_CF(ANN_R,12/2014,,,,LOCAL)&lt;/Q&gt;&lt;R&gt;1&lt;/R&gt;&lt;C&gt;1&lt;/C&gt;&lt;D xsi:type="xsd:double"&gt;0&lt;/D&gt;&lt;/FQL&gt;&lt;FQL&gt;&lt;Q&gt;UNM^FF_ACQ_BUS_CF(ANN_R,12/2015,,,,LOCAL)&lt;/Q&gt;&lt;R&gt;1&lt;/R&gt;&lt;C&gt;1&lt;/C&gt;&lt;D xsi:type="xsd:double"&gt;54.3&lt;/D&gt;&lt;/FQL&gt;&lt;FQL&gt;&lt;Q&gt;UNM^FF_ACQ_BUS_CF(ANN_R,12/2016,,,,LOCAL)&lt;/Q&gt;&lt;R&gt;1&lt;/R&gt;&lt;C&gt;1&lt;/C&gt;&lt;D xsi:type="xsd:double"&gt;129.2&lt;/D&gt;&lt;/FQL&gt;&lt;FQL&gt;&lt;Q&gt;UNM^FF_ACQ_BUS_CF(ANN_R,12/2017,,,,LOCAL)&lt;/Q&gt;&lt;R&gt;1&lt;/R&gt;&lt;C&gt;1&lt;/C&gt;&lt;D xsi:type="xsd:double"&gt;0&lt;/D&gt;&lt;/FQL&gt;&lt;FQL&gt;&lt;Q&gt;UNM^FF_ACQ_BUS_CF(ANN_R,12/2018,,,,LOCAL)&lt;/Q&gt;&lt;R&gt;1&lt;/R&gt;&lt;C&gt;1&lt;/C&gt;&lt;D xsi:type="xsd:double"&gt;145.4&lt;/D&gt;&lt;/FQL&gt;&lt;FQL&gt;&lt;Q&gt;UNM^FF_ACQ_BUS_CF(ANN_R,12/2019,,,,LOCAL)&lt;/Q&gt;&lt;R&gt;1&lt;/R&gt;&lt;C&gt;1&lt;/C&gt;&lt;D xsi:type="xsd:double"&gt;0&lt;/D&gt;&lt;/FQL&gt;&lt;FQL&gt;&lt;Q&gt;UNM^FF_ACQ_BUS_CF(ANN_R,12/2020,,,,LOCAL)&lt;/Q&gt;&lt;R&gt;1&lt;/R&gt;&lt;C&gt;1&lt;/C&gt;&lt;D xsi:type="xsd:double"&gt;0&lt;/D&gt;&lt;/FQL&gt;&lt;FQL&gt;&lt;Q&gt;UNM^FF_ACQ_BUS_CF(ANN_R,12/2021,,,,LOCAL)&lt;/Q&gt;&lt;R&gt;1&lt;/R&gt;&lt;C&gt;1&lt;/C&gt;&lt;D xsi:type="xsd:double"&gt;0&lt;/D&gt;&lt;/FQL&gt;&lt;FQL&gt;&lt;Q&gt;UNM^FF_ACQ_BUS_CF(ANN_R,12/2022,,,,LOCAL)&lt;/Q&gt;&lt;R&gt;1&lt;/R&gt;&lt;C&gt;1&lt;/C&gt;&lt;D xsi:type="xsd:double"&gt;0&lt;/D&gt;&lt;/FQL&gt;&lt;FQL&gt;&lt;Q&gt;UNM^FF_SALE_ASSETS_BUS_CF(ANN_R,12/2012,,,,LOCAL)&lt;/Q&gt;&lt;R&gt;1&lt;/R&gt;&lt;C&gt;1&lt;/C&gt;&lt;D xsi:type="xsd:double"&gt;0&lt;/D&gt;&lt;/FQL&gt;&lt;FQL&gt;&lt;Q&gt;UNM^FF_SALE_ASSETS_BUS_CF(ANN_R,12/2013,,,,LOCAL)&lt;/Q&gt;&lt;R&gt;1&lt;/R&gt;&lt;C&gt;1&lt;/C&gt;&lt;D xsi:type="xsd:double"&gt;0&lt;/D&gt;&lt;/FQL&gt;&lt;FQL&gt;&lt;Q&gt;UNM^FF_SALE_ASSETS_BUS_CF(ANN_R,12/2014,,,,LOCAL)&lt;/Q&gt;&lt;R&gt;1&lt;/R&gt;&lt;C&gt;1&lt;/C&gt;&lt;D xsi:type="xsd:double"&gt;0&lt;/D&gt;&lt;/FQL&gt;&lt;FQL&gt;&lt;Q&gt;UNM^FF_SALE_ASSETS_BUS_CF(ANN_R,12/2015,,,,LOCAL)&lt;/Q&gt;&lt;R&gt;1&lt;/R&gt;&lt;C&gt;1&lt;/C&gt;&lt;D xsi:type="xsd:double"&gt;0&lt;/D&gt;&lt;/FQL&gt;&lt;FQL&gt;&lt;Q&gt;UNM^FF_SALE_ASSETS_BUS_CF(ANN_R,12/2016,,,,LOCAL)&lt;/Q&gt;&lt;R&gt;1&lt;/R&gt;&lt;C&gt;1&lt;/C&gt;&lt;D xsi:type="xsd:double"&gt;0&lt;/D&gt;&lt;/FQL&gt;&lt;FQL&gt;&lt;Q&gt;UNM^FF_SALE_ASSETS_BUS_CF(ANN_R,12/2017,,,,LOCAL)&lt;/Q&gt;&lt;R&gt;1&lt;/R&gt;&lt;C&gt;1&lt;/C&gt;&lt;D xsi:type="xsd:double"&gt;0&lt;/D&gt;&lt;/FQL&gt;&lt;FQL&gt;&lt;Q&gt;UNM^FF_SALE_ASSETS_BUS_CF(ANN_R,12/2018,,,,LOCAL)&lt;/Q&gt;&lt;R&gt;1&lt;/R&gt;&lt;C&gt;1&lt;/C&gt;&lt;D xsi:type="xsd:double"&gt;0&lt;/D&gt;&lt;/FQL&gt;&lt;FQL&gt;&lt;Q&gt;UNM^FF_SALE_ASSETS_BUS_CF(ANN_R,12/2019,,,,LOCAL)&lt;/Q&gt;&lt;R&gt;1&lt;/R&gt;&lt;C&gt;1&lt;/C&gt;&lt;D xsi:type="xsd:double"&gt;0&lt;/D&gt;&lt;/FQL&gt;&lt;FQL&gt;&lt;Q&gt;UNM^FF_SALE_ASSETS_BUS_CF(ANN_R,12/2020,,,,LOCAL)&lt;/Q&gt;&lt;R&gt;1&lt;/R&gt;&lt;C&gt;1&lt;/C&gt;&lt;D xsi:type="xsd:double"&gt;0&lt;/D&gt;&lt;/FQL&gt;&lt;FQL&gt;&lt;Q&gt;UNM^FF_SALE_ASSETS_BUS_CF(ANN_R,12/2021,,,,LOCAL)&lt;/Q&gt;&lt;R&gt;1&lt;/R&gt;&lt;C&gt;1&lt;/C&gt;&lt;D xsi:type="xsd:double"&gt;0&lt;/D&gt;&lt;/FQL&gt;&lt;FQL&gt;&lt;Q&gt;UNM^FF_SALE_ASSETS_BUS_CF(ANN_R,12/2022,,,,LOCAL)&lt;/Q&gt;&lt;R&gt;1&lt;/R&gt;&lt;C&gt;1&lt;/C&gt;&lt;D xsi:type="xsd:double"&gt;0&lt;/D&gt;&lt;/FQL&gt;&lt;FQL&gt;&lt;Q&gt;UNM^FF_INVEST_PURCH_CF(ANN_R,12/2012,,,,LOCAL)&lt;/Q&gt;&lt;R&gt;1&lt;/R&gt;&lt;C&gt;1&lt;/C&gt;&lt;D xsi:type="xsd:double"&gt;3946.7&lt;/D&gt;&lt;/FQL&gt;&lt;FQL&gt;&lt;Q&gt;UNM^FF_INVEST_PURCH_CF(ANN_R,12/2013,,,,LOCAL)&lt;/Q&gt;&lt;R&gt;1&lt;/R&gt;&lt;C&gt;1&lt;/C&gt;&lt;D xsi:type="xsd:double"&gt;3917.3&lt;/D&gt;&lt;/FQL&gt;&lt;FQL&gt;&lt;Q&gt;UNM^FF_INVEST_PURCH_CF(ANN_R,12/2014,,,,LOCAL)&lt;/Q&gt;&lt;R&gt;1&lt;/R&gt;&lt;C&gt;1&lt;/C&gt;&lt;D xsi:type="xsd:double"&gt;3272.9&lt;/D&gt;&lt;/FQL&gt;&lt;FQL&gt;&lt;Q&gt;UNM^FF_INVEST_PURCH_CF(ANN_R,12/2015,,,,LOCAL)&lt;/Q&gt;&lt;R&gt;1&lt;/R&gt;&lt;C&gt;1&lt;/C&gt;&lt;D xsi:type="xsd:double"&gt;4714.8&lt;/D&gt;&lt;/FQL&gt;&lt;FQL&gt;&lt;Q&gt;UNM^FF_INVEST_PURCH_CF(ANN_R,12/2016,,,,LOCAL)&lt;/Q&gt;&lt;R&gt;1&lt;/R&gt;&lt;C&gt;1&lt;/C&gt;&lt;D xsi:type="xsd:double"&gt;3938.8&lt;/D&gt;&lt;/FQL&gt;&lt;FQL&gt;&lt;Q&gt;UNM^FF_INVEST_PURCH_CF(ANN_R,12/2017,,,,LOCAL)&lt;/Q&gt;&lt;R&gt;1&lt;/R&gt;&lt;C&gt;1&lt;/C&gt;&lt;D xsi:type="xsd:double"&gt;3639.2&lt;/D&gt;&lt;/FQL&gt;&lt;FQL&gt;&lt;Q&gt;UNM^FF_INVEST_PURCH_CF(ANN_R,12/2018,,,,LOCAL)&lt;/Q&gt;&lt;R&gt;1&lt;/R&gt;&lt;C&gt;1&lt;/C&gt;&lt;D xsi:type="xsd:double"&gt;4484.9&lt;/D&gt;&lt;/FQL&gt;&lt;FQL&gt;&lt;Q&gt;UNM^FF_INVEST_PURCH_CF(ANN_R,12/2019,,,,LOCAL)&lt;/Q&gt;&lt;R&gt;1&lt;/R&gt;&lt;C&gt;1&lt;/C&gt;&lt;D xsi:type="xsd:double"&gt;4858.5&lt;/D&gt;&lt;/FQL&gt;&lt;FQL&gt;&lt;Q&gt;UNM^FF_INVEST_PURCH_CF(ANN_R,12/2020,,,,LOCAL)&lt;/Q&gt;&lt;R&gt;1&lt;/R&gt;&lt;C&gt;1&lt;/C&gt;&lt;D xsi:type="xsd:double"&gt;3743.3&lt;/D&gt;&lt;/FQL&gt;&lt;FQL&gt;&lt;Q&gt;UNM^FF_INVEST_PURCH_CF(ANN_R,12/2021,,,,LOCAL)&lt;/Q&gt;&lt;R&gt;1&lt;/R&gt;&lt;C&gt;1&lt;/C&gt;&lt;D xsi:type="xsd:double"&gt;4713.1&lt;/D&gt;&lt;/FQL&gt;&lt;FQL&gt;&lt;Q&gt;UNM^FF_INVEST_PURCH_CF(ANN_R,12/2022,,,,LOCAL)&lt;/Q&gt;&lt;R&gt;1&lt;/R&gt;&lt;C&gt;1&lt;/C&gt;&lt;D xsi:type="xsd:double"&gt;3340.8&lt;/D&gt;&lt;/FQL&gt;&lt;FQL&gt;&lt;Q&gt;UNM^FF_INVEST_SALE_CF(ANN_R,12/2012,,,,LOCAL)&lt;/Q&gt;&lt;R&gt;1&lt;/R&gt;&lt;C&gt;1&lt;/C&gt;&lt;D xsi:type="xsd:double"&gt;2938.6&lt;/D&gt;&lt;/FQL&gt;&lt;FQL&gt;&lt;Q&gt;UNM^FF_INVEST_SALE_CF(ANN_R,12/2013,,,,LOCAL)&lt;/Q&gt;&lt;R&gt;1&lt;/R&gt;&lt;C&gt;1&lt;/C&gt;&lt;D xsi:type="xsd:double"&gt;3982.7&lt;/D&gt;&lt;/FQL&gt;&lt;FQL&gt;&lt;Q&gt;UNM^FF_INVEST_SALE_CF(ANN_R,12/2014,,,,LOCAL)&lt;/Q&gt;&lt;R&gt;1&lt;/R&gt;&lt;C&gt;1&lt;/C&gt;&lt;D xsi:type="xsd:double"&gt;2504.5&lt;/D&gt;&lt;/FQL&gt;&lt;FQL&gt;&lt;Q&gt;UNM^FF_INVEST_SALE_CF(ANN_R,12/2015,,,,LOCAL)&lt;/Q&gt;&lt;R&gt;1&lt;/R&gt;&lt;C&gt;1&lt;/C&gt;&lt;D xsi:type="xsd:double"&gt;3814.7&lt;/D&gt;&lt;/FQL&gt;&lt;FQL&gt;&lt;Q&gt;UNM^FF_INVEST_SALE_CF(ANN_R,12/2016,,,,LOCAL)&lt;/Q&gt;&lt;R&gt;1&lt;/R&gt;&lt;C&gt;1&lt;/C&gt;&lt;D xsi:type="xsd:double"&gt;3452.4&lt;/D&gt;&lt;/FQL&gt;&lt;FQL&gt;&lt;Q&gt;UNM^FF_INVEST_SALE_CF(ANN_R,12/2017,,,,LOCAL)&lt;/Q&gt;&lt;R&gt;1&lt;/R&gt;&lt;C&gt;1&lt;/C&gt;&lt;D xsi:type="xsd:double"&gt;3255&lt;/D&gt;&lt;/FQL&gt;&lt;FQL&gt;&lt;Q&gt;UNM^FF_INVEST_SALE_CF(ANN_R,12/2018,,,,LOCAL)&lt;/Q&gt;&lt;R&gt;1&lt;/R&gt;&lt;C&gt;1&lt;/C&gt;&lt;D xsi:type="xsd:double"&gt;4112.4&lt;/D&gt;&lt;/FQL&gt;&lt;FQL&gt;&lt;Q&gt;UNM^FF_INVEST_SALE_CF(ANN_R,12/2019,,,,LOCAL)&lt;/Q&gt;&lt;R&gt;1&lt;/R&gt;&lt;C&gt;1&lt;/C&gt;&lt;D xsi:type="xsd:double"&gt;3719.7&lt;/D&gt;&lt;/FQL&gt;&lt;FQL&gt;&lt;Q&gt;UNM^FF_INVEST_SALE_CF(ANN_R,12/2020,,,,LOCAL)&lt;/Q&gt;&lt;R&gt;1&lt;/R&gt;&lt;C&gt;1&lt;/C&gt;&lt;D xsi:type="xsd:double"&gt;3280.2&lt;/D&gt;&lt;/FQL&gt;&lt;FQL&gt;&lt;Q&gt;UNM^FF_INVEST_SALE_CF(ANN_R,12/2021,,,,LOCAL)&lt;/Q&gt;&lt;R&gt;1&lt;/R&gt;&lt;C&gt;1&lt;/C&gt;&lt;D xsi:type="xsd:double"&gt;3533.5&lt;/D&gt;&lt;/FQL&gt;&lt;FQL&gt;&lt;Q&gt;UNM^FF_INVEST_SALE_CF(ANN_R,12/2022,,,,LOCAL)&lt;/Q&gt;&lt;R&gt;1&lt;/R&gt;&lt;C&gt;1&lt;/C&gt;&lt;D xsi:type="xsd:double"&gt;2537.9&lt;/D&gt;&lt;/FQL&gt;&lt;FQL&gt;&lt;Q&gt;UNM^FF_INVEST_ACTIV_CF(ANN_R,12/2012,,,,LOCAL)&lt;/Q&gt;&lt;R&gt;1&lt;/R&gt;&lt;C&gt;1&lt;/C&gt;&lt;D xsi:type="xsd:double"&gt;105.3&lt;/D&gt;&lt;/FQL&gt;&lt;FQL&gt;&lt;Q&gt;UNM^FF_INVEST_ACTIV_CF(ANN_R,12/2013,,,,LOCAL)&lt;/Q&gt;&lt;R&gt;1&lt;/R&gt;&lt;C&gt;1&lt;/C&gt;&lt;D xsi:type="xsd:double"&gt;0&lt;/D&gt;&lt;/FQL&gt;&lt;FQL&gt;&lt;Q&gt;UNM^FF_INVEST_ACTIV_CF(ANN_R,12/2014,,,,LOCAL)&lt;/Q&gt;&lt;R&gt;1&lt;/R&gt;&lt;C&gt;1&lt;/C&gt;&lt;D xsi:type="xsd:double"&gt;3.7&lt;/D&gt;&lt;/FQL&gt;&lt;FQL&gt;&lt;Q&gt;UNM^FF_INVEST_ACTIV_CF(ANN_R,12/2015,,,,LOCAL)&lt;/Q&gt;&lt;R&gt;1&lt;/R&gt;&lt;C&gt;1&lt;/C&gt;&lt;D xsi:type="xsd:double"&gt;0&lt;/D&gt;&lt;/FQL&gt;&lt;FQL&gt;&lt;Q&gt;UNM^FF_INVEST_ACTIV_CF(ANN_R,12/2016,,,,LOCAL)&lt;/Q&gt;&lt;R&gt;1&lt;/R&gt;&lt;C&gt;1&lt;/C&gt;&lt;D xsi:type="xsd:double"&gt;9.4&lt;/D&gt;&lt;/FQL&gt;&lt;FQL&gt;&lt;Q&gt;UNM^FF_INVEST_ACTIV_CF(ANN_R,12/2017,,,,LOCAL)&lt;/Q&gt;&lt;R&gt;1&lt;/R&gt;&lt;C&gt;1&lt;/C&gt;&lt;D xsi:type="xsd:double"&gt;9.8&lt;/D&gt;&lt;/FQL&gt;&lt;FQL&gt;&lt;Q&gt;UNM^FF_INVEST_ACTIV_CF(ANN_R,12/2018,,,,LOCAL)&lt;/Q&gt;&lt;R&gt;1&lt;/R&gt;&lt;C&gt;1&lt;/C&gt;&lt;D xsi:type="xsd:double"&gt;268.1&lt;/D&gt;&lt;/FQL&gt;&lt;FQL&gt;&lt;Q&gt;UNM^FF_INVEST_ACTIV_CF(ANN_R,12/2019,,,,LOCAL)&lt;/Q&gt;&lt;R&gt;1&lt;/R&gt;&lt;C&gt;1&lt;/C&gt;&lt;D xsi:type="xsd:double"&gt;103.8&lt;/D&gt;&lt;/FQL&gt;&lt;FQL&gt;&lt;Q&gt;UNM^FF_INVEST_ACTIV_CF(ANN_R,12/2020,,,,LOCAL)&lt;/Q&gt;&lt;R&gt;1&lt;/R&gt;&lt;C&gt;1&lt;/C&gt;&lt;D xsi:type="xsd:double"&gt;0&lt;/D&gt;&lt;/FQL&gt;&lt;FQL&gt;&lt;Q&gt;UNM^FF_INVEST_ACTIV_CF(ANN_R,12/2021,,,,LOCAL)&lt;/Q&gt;&lt;R&gt;1&lt;/R&gt;&lt;C&gt;1&lt;/C&gt;&lt;D xsi:type="xsd:double"&gt;50.7&lt;/D&gt;&lt;/FQL&gt;&lt;FQL&gt;&lt;Q&gt;UNM^FF_INVEST_ACTIV_CF(ANN_R,12/2022,,,,LOCAL)&lt;/Q&gt;&lt;R&gt;1&lt;/R&gt;&lt;C&gt;1&lt;/C&gt;&lt;D xsi:type="xsd:double"&gt;50.8&lt;/D&gt;&lt;/FQL&gt;&lt;FQL&gt;&lt;Q&gt;UNM^FF_INVEST_SOURCES_CF(ANN_R,12/2012,,,,LOCAL)&lt;/Q&gt;&lt;R&gt;1&lt;/R&gt;&lt;C&gt;1&lt;/C&gt;&lt;D xsi:type="xsd:double"&gt;0&lt;/D&gt;&lt;/FQL&gt;&lt;FQL&gt;&lt;Q&gt;UNM^FF_INVEST_SOURCES_CF(ANN_R,12/2013,,,,LOCAL)&lt;/Q&gt;&lt;R&gt;1&lt;/R&gt;&lt;C&gt;1&lt;/C&gt;&lt;D xsi:type="xsd:double"&gt;0.2&lt;/D&gt;&lt;/FQL&gt;&lt;FQL&gt;&lt;Q&gt;UNM^FF_INVEST_SOURCES_CF(ANN_R,12/2014,,,,LOCAL)&lt;/Q&gt;&lt;R&gt;1&lt;/R&gt;&lt;C&gt;1&lt;/C&gt;&lt;D xsi:type="xsd:double"&gt;0&lt;/D&gt;&lt;/FQL&gt;&lt;FQL&gt;&lt;Q&gt;UNM^FF_INVEST_SOURCES_CF(ANN_R,12/2015,,,,LOCAL)&lt;/Q&gt;&lt;R&gt;1&lt;/R&gt;&lt;C&gt;1&lt;/C&gt;&lt;D xsi:type="xsd:double"&gt;341.6&lt;/D&gt;&lt;/FQL&gt;&lt;FQL&gt;&lt;Q&gt;UNM^FF_INVEST_SOURCES_CF(ANN_R,12/2016,,,,LOCAL)&lt;/Q&gt;&lt;R&gt;1&lt;/R&gt;&lt;C&gt;1&lt;/C&gt;&lt;D xsi:type="xsd:double"&gt;0&lt;/D&gt;&lt;/FQL&gt;&lt;FQL&gt;&lt;Q&gt;UNM^FF_INVEST_SOURCES_CF(ANN_R,12/2017,,,,LOCAL)&lt;/Q&gt;&lt;R&gt;1&lt;/R&gt;&lt;C&gt;1&lt;/C&gt;&lt;D xsi:type="xsd:double"&gt;0&lt;/D&gt;&lt;/FQL&gt;&lt;FQL&gt;&lt;Q&gt;UNM^FF_INVEST_SOURCES_CF(ANN_R,12/2018,,,,LOCAL)&lt;/Q&gt;&lt;R&gt;1&lt;/R&gt;&lt;C&gt;1&lt;/C&gt;&lt;D xsi:type="xsd:double"&gt;0&lt;/D&gt;&lt;/FQL&gt;&lt;FQL&gt;&lt;Q&gt;UNM^FF_INVEST_SOURCES_CF(ANN_R,12/2019,,,,LOCAL)&lt;/Q&gt;&lt;R&gt;1&lt;/R&gt;&lt;C&gt;1&lt;/C&gt;&lt;D xsi:type="xsd:double"&gt;0&lt;/D&gt;&lt;/FQL&gt;&lt;FQL&gt;&lt;Q&gt;UNM^FF_INVEST_SOURCES_CF(ANN_R,12/2020,,,,LOCAL)&lt;/Q&gt;&lt;R&gt;1&lt;/R&gt;&lt;C&gt;1&lt;/C&gt;&lt;D xsi:type="xsd:double"&gt;314.5&lt;/D&gt;&lt;/FQL&gt;&lt;FQL&gt;&lt;Q&gt;UNM^FF_INVEST_SOURCES_CF(ANN_R,12/2021,,,,LOCAL)&lt;/Q&gt;&lt;R&gt;1&lt;/R&gt;&lt;C&gt;1&lt;/C&gt;&lt;D xsi:type="xsd:double"&gt;0&lt;/D&gt;&lt;/FQL&gt;&lt;FQL&gt;&lt;Q&gt;UNM^FF_INVEST_SOURCES_CF(ANN_R,12/2022,,,,LOCAL)&lt;/Q&gt;&lt;R&gt;1&lt;/R&gt;&lt;C&gt;1&lt;/C&gt;&lt;D xsi:type="xsd:double"&gt;0&lt;/D&gt;&lt;/FQL&gt;&lt;FQL&gt;&lt;Q&gt;UNM^FF_INVEST_CF(,12/2012,,,,LOCAL)&lt;/Q&gt;&lt;R&gt;1&lt;/R&gt;&lt;C&gt;1&lt;/C&gt;&lt;D xsi:type="xsd:double"&gt;-1113.4&lt;/D&gt;&lt;/FQL&gt;&lt;FQL&gt;&lt;Q&gt;UNM^FF_INVEST_CF(,12/2013,,,,LOCAL)&lt;/Q&gt;&lt;R&gt;1&lt;/R&gt;&lt;C&gt;1&lt;/C&gt;&lt;D xsi:type="xsd:double"&gt;-39.9&lt;/D&gt;&lt;/FQL&gt;&lt;FQL&gt;&lt;Q&gt;UNM^FF_INVEST_CF(,12/2014,,,,LOCAL)&lt;/Q&gt;&lt;R&gt;1&lt;/R&gt;&lt;C&gt;1&lt;/C&gt;&lt;D xsi:type="xsd:double"&gt;-886.6&lt;/D&gt;&lt;/FQL&gt;&lt;FQL&gt;&lt;Q&gt;UNM^FF_INVEST_CF(,12/2015,,,,LOCAL)&lt;/Q&gt;&lt;R&gt;1&lt;/R&gt;&lt;C&gt;1&lt;/C&gt;&lt;D xsi:type="xsd:double"&gt;-713&lt;/D&gt;&lt;/FQL&gt;&lt;FQL&gt;&lt;Q&gt;UNM^FF_INVEST_CF(,12/2016,,,,LOCAL)&lt;/Q&gt;&lt;R&gt;1&lt;/R&gt;&lt;C&gt;1&lt;/C&gt;&lt;D xsi:type="xsd:double"&gt;-710&lt;/D&gt;&lt;/FQL&gt;&lt;FQL&gt;&lt;Q&gt;UNM^FF_INVEST_CF(,12/2017,,,,LOCAL)&lt;/Q&gt;&lt;R&gt;1&lt;/R&gt;&lt;C&gt;1&lt;/C&gt;&lt;D xsi:type="xsd:double"&gt;-499.3&lt;/D&gt;&lt;/FQL&gt;&lt;FQL&gt;&lt;Q&gt;UNM^FF_INVEST_CF(,12/2018,,,,LOCAL)&lt;/Q&gt;&lt;R&gt;1&lt;/R&gt;&lt;C&gt;1&lt;/C&gt;&lt;D xsi:type="xsd:double"&gt;-930.1&lt;/D&gt;&lt;/FQL&gt;&lt;FQL&gt;&lt;Q&gt;UNM^FF_INVEST_CF(,12/2019,,,,LOCAL)&lt;/Q&gt;&lt;R&gt;1&lt;/R&gt;&lt;C&gt;1&lt;/C&gt;&lt;D xsi:type="xsd:double"&gt;-1393.5&lt;/D&gt;&lt;/FQL&gt;&lt;FQL&gt;&lt;Q&gt;UNM^FF_INVEST_CF(,12/2020,,,,LOCAL)&lt;/Q&gt;&lt;R&gt;1&lt;/R&gt;&lt;C&gt;1&lt;/C&gt;&lt;D xsi:type="xsd:double"&gt;-267.7&lt;/D&gt;&lt;/FQL&gt;&lt;FQL&gt;&lt;Q&gt;UNM^FF_INVEST_CF(,12/2021,,,,LOCAL)&lt;/Q&gt;&lt;R&gt;1&lt;/R&gt;&lt;C&gt;1&lt;/C&gt;&lt;D xsi:type="xsd:double"&gt;-1340.6&lt;/D&gt;&lt;/FQL&gt;&lt;FQL&gt;&lt;Q&gt;UNM^FF_INVEST_CF(,12/2022,,,,LOCAL)&lt;/Q&gt;&lt;R&gt;1&lt;/R&gt;&lt;C&gt;1&lt;/C&gt;&lt;D xsi:type="xsd:double"&gt;-955.9&lt;/D&gt;&lt;/FQL&gt;&lt;FQL&gt;&lt;Q&gt;UNM^FF_DIV_COM_CF(,12/2012,,,,LOCAL)&lt;/Q&gt;&lt;R&gt;1&lt;/R&gt;&lt;C&gt;1&lt;/C&gt;&lt;D xsi:type="xsd:double"&gt;133.8&lt;/D&gt;&lt;/FQL&gt;&lt;FQL&gt;&lt;Q&gt;UNM^FF_DIV_COM_CF(,12/2013,,,,LOCAL)&lt;/Q&gt;&lt;R&gt;1&lt;/R&gt;&lt;C&gt;1&lt;/C&gt;&lt;D xsi:type="xsd:double"&gt;146.5&lt;/D&gt;&lt;/FQL&gt;&lt;FQL&gt;&lt;Q&gt;UNM^FF_DIV_COM_CF(,12/2014,,,,LOCAL)&lt;/Q&gt;&lt;R&gt;1&lt;/R&gt;&lt;C&gt;1&lt;/C&gt;&lt;D xsi:type="xsd:double"&gt;159.4&lt;/D&gt;&lt;/FQL&gt;&lt;FQL&gt;&lt;Q&gt;UNM^FF_DIV_COM_CF(,12/2015,,,,LOCAL)&lt;/Q&gt;&lt;R&gt;1&lt;/R&gt;&lt;C&gt;1&lt;/C&gt;&lt;D xsi:type="xsd:double"&gt;174.2&lt;/D&gt;&lt;/FQL&gt;&lt;FQL&gt;&lt;Q&gt;UNM^FF_DIV_COM_CF(,12/2016,,,,LOCAL)&lt;/Q&gt;&lt;R&gt;1&lt;/R&gt;&lt;C&gt;1&lt;/C&gt;&lt;D xsi:type="xsd:double"&gt;182.6&lt;/D&gt;&lt;/FQL&gt;&lt;FQL&gt;&lt;Q&gt;UNM^FF_DIV_COM_CF(,12/2017,,,,LOCAL)&lt;/Q&gt;&lt;R&gt;1&lt;/R&gt;&lt;C&gt;1&lt;/C&gt;&lt;D xsi:type="xsd:double"&gt;196&lt;/D&gt;&lt;/FQL&gt;&lt;FQL&gt;&lt;Q&gt;UNM^FF_DIV_COM_CF(,12/2018,,,,LOCAL)&lt;/Q&gt;&lt;R&gt;1&lt;/R&gt;&lt;C&gt;1&lt;/C&gt;&lt;D xsi:type="xsd:double"&gt;215.6&lt;/D&gt;&lt;/FQL&gt;&lt;FQL&gt;&lt;Q&gt;UNM^FF_DIV_COM_CF(,12/2019,,,,LOCAL)&lt;/Q&gt;&lt;R&gt;1&lt;/R&gt;&lt;C&gt;1&lt;/C&gt;&lt;D xsi:type="xsd:double"&gt;229.2&lt;/D&gt;&lt;/FQL&gt;&lt;FQL&gt;&lt;Q&gt;UNM^FF_DIV_COM_CF(,12/2020,,,,LOCAL)&lt;/Q&gt;&lt;R&gt;1&lt;/R&gt;&lt;C&gt;1&lt;/C&gt;&lt;D xsi:type="xsd:double"&gt;231.9&lt;/D&gt;&lt;/FQL&gt;&lt;FQL&gt;&lt;Q&gt;UNM^FF_DIV_COM_CF(,12/2021,,,,LOCAL)&lt;/Q&gt;&lt;R&gt;1&lt;/R&gt;&lt;C&gt;1&lt;/C&gt;&lt;D xsi:type="xsd:double"&gt;239.4&lt;/D&gt;&lt;/FQL&gt;&lt;FQL&gt;&lt;Q&gt;UNM^FF_DIV_COM_CF(,12/2022,,,,LOCAL)&lt;/Q&gt;&lt;R&gt;1&lt;/R&gt;&lt;C&gt;1&lt;/C&gt;&lt;D xsi:type="xsd:double"&gt;254.2&lt;/D&gt;&lt;/FQL&gt;&lt;FQL&gt;&lt;Q&gt;UNM^FF_DEBT_CF(,12/2012,,,,LOCAL)&lt;/Q&gt;&lt;R&gt;1&lt;/R&gt;&lt;C&gt;1&lt;/C&gt;&lt;D xsi:type="xsd:double"&gt;319.9&lt;/D&gt;&lt;/FQL&gt;&lt;FQL&gt;&lt;Q&gt;UNM^FF_DEBT_CF(,12/2013,,,,LOCAL)&lt;/Q&gt;&lt;R&gt;1&lt;/R&gt;&lt;C&gt;1&lt;/C&gt;&lt;D xsi:type="xsd:double"&gt;-495.5&lt;/D&gt;&lt;/FQL&gt;&lt;FQL&gt;&lt;Q&gt;UNM^FF_DEBT_CF(,12/2014,,,,LOCAL)&lt;/Q&gt;&lt;R&gt;1&lt;/R&gt;&lt;C&gt;1&lt;/C&gt;&lt;D xsi:type="xsd:double"&gt;160.6&lt;/D&gt;&lt;/FQL&gt;&lt;FQL&gt;&lt;Q&gt;UNM^FF_DEBT_CF(,12/2015,,,,LOCAL)&lt;/Q&gt;&lt;R&gt;1&lt;/R&gt;&lt;C&gt;1&lt;/C&gt;&lt;D xsi:type="xsd:double"&gt;45.1&lt;/D&gt;&lt;/FQL&gt;&lt;FQL&gt;&lt;Q&gt;UNM^FF_DEBT_CF(,12/2016,,,,LOCAL)&lt;/Q&gt;&lt;R&gt;1&lt;/R&gt;&lt;C&gt;1&lt;/C&gt;&lt;D xsi:type="xsd:double"&gt;195.1&lt;/D&gt;&lt;/FQL&gt;&lt;FQL&gt;&lt;Q&gt;UNM^FF_DEBT_CF(,12/2017,,,,LOCAL)&lt;/Q&gt;&lt;R&gt;1&lt;/R&gt;&lt;C&gt;1&lt;/C&gt;&lt;D xsi:type="xsd:double"&gt;-63.5&lt;/D&gt;&lt;/FQL&gt;&lt;FQL&gt;&lt;Q&gt;UNM^FF_DEBT_CF(,12/2018,,,,LOCAL)&lt;/Q&gt;&lt;R&gt;1&lt;/R&gt;&lt;C&gt;1&lt;/C&gt;&lt;D xsi:type="xsd:double"&gt;30.7&lt;/D&gt;&lt;/FQL&gt;&lt;FQL&gt;&lt;Q&gt;UNM^FF_DEBT_CF(,12/2019,,,,LOCAL)&lt;/Q&gt;&lt;R&gt;1&lt;/R&gt;&lt;C&gt;1&lt;/C&gt;&lt;D xsi:type="xsd:double"&gt;348.8&lt;/D&gt;&lt;/FQL&gt;&lt;FQL&gt;&lt;Q&gt;UNM^FF_DEBT_CF(,12/2020,,,,LOCAL)&lt;/Q&gt;&lt;R&gt;1&lt;/R&gt;&lt;C&gt;1&lt;/C&gt;&lt;D xsi:type="xsd:double"&gt;14.1&lt;/D&gt;&lt;/FQL&gt;&lt;FQL&gt;&lt;Q&gt;UNM^FF_DEBT_CF(,12/2021,,,,LOCAL)&lt;/Q&gt;&lt;R&gt;1&lt;/R&gt;&lt;C&gt;1&lt;/C&gt;&lt;D xsi:type="xsd:double"&gt;88.1&lt;/D&gt;&lt;/FQL&gt;&lt;FQL&gt;&lt;Q&gt;UNM^FF_DEBT_CF(,12/2022,,,,LOCAL)&lt;/Q&gt;&lt;R&gt;1&lt;/R&gt;&lt;C&gt;1&lt;/C&gt;&lt;D xsi:type="xsd:double"&gt;-14.8&lt;/D&gt;&lt;/FQL&gt;&lt;FQL&gt;&lt;Q&gt;UNM^FF_STK_CHG_CF(,12/2012,,,,LOCAL)&lt;/Q&gt;&lt;R&gt;1&lt;/R&gt;&lt;C&gt;1&lt;/C&gt;&lt;D xsi:type="xsd:double"&gt;-491.8&lt;/D&gt;&lt;/FQL&gt;&lt;FQL&gt;&lt;Q&gt;UNM^FF_STK_CHG_CF(,12/2013,,,,LOCAL)&lt;/Q&gt;&lt;R&gt;1&lt;/R&gt;&lt;C&gt;1&lt;/C&gt;&lt;D xsi:type="xsd:double"&gt;-305.8&lt;/D&gt;&lt;/FQL&gt;&lt;FQL&gt;&lt;Q&gt;UNM^FF_STK_CHG_CF(,12/2014,,,,LOCAL)&lt;/Q&gt;&lt;R&gt;1&lt;/R&gt;&lt;C&gt;1&lt;/C&gt;&lt;D xsi:type="xsd:do</t>
        </r>
      </text>
    </comment>
    <comment ref="A4" authorId="0" shapeId="0" xr:uid="{4EE44FAA-75CB-429E-98F9-CDA37B1C074C}">
      <text>
        <r>
          <rPr>
            <b/>
            <sz val="9"/>
            <color indexed="81"/>
            <rFont val="Tahoma"/>
            <family val="2"/>
          </rPr>
          <t>uble"&gt;-293.7&lt;/D&gt;&lt;/FQL&gt;&lt;FQL&gt;&lt;Q&gt;UNM^FF_STK_CHG_CF(,12/2015,,,,LOCAL)&lt;/Q&gt;&lt;R&gt;1&lt;/R&gt;&lt;C&gt;1&lt;/C&gt;&lt;D xsi:type="xsd:double"&gt;-411.5&lt;/D&gt;&lt;/FQL&gt;&lt;FQL&gt;&lt;Q&gt;UNM^FF_STK_CHG_CF(,12/2016,,,,LOCAL)&lt;/Q&gt;&lt;R&gt;1&lt;/R&gt;&lt;C&gt;1&lt;/C&gt;&lt;D xsi:type="xsd:double"&gt;-396.7&lt;/D&gt;&lt;/FQL&gt;&lt;FQL&gt;&lt;Q&gt;UNM^FF_STK_CHG_CF(,12/2017,,,,LOCAL)&lt;/Q&gt;&lt;R&gt;1&lt;/R&gt;&lt;C&gt;1&lt;/C&gt;&lt;D xsi:type="xsd:double"&gt;-391&lt;/D&gt;&lt;/FQL&gt;&lt;FQL&gt;&lt;Q&gt;UNM^FF_STK_CHG_CF(,12/2018,,,,LOCAL)&lt;/Q&gt;&lt;R&gt;1&lt;/R&gt;&lt;C&gt;1&lt;/C&gt;&lt;D xsi:type="xsd:double"&gt;-351.6&lt;/D&gt;&lt;/FQL&gt;&lt;FQL&gt;&lt;Q&gt;UNM^FF_STK_CHG_CF(,12/2019,,,,LOCAL)&lt;/Q&gt;&lt;R&gt;1&lt;/R&gt;&lt;C&gt;1&lt;/C&gt;&lt;D xsi:type="xsd:double"&gt;-394.2&lt;/D&gt;&lt;/FQL&gt;&lt;FQL&gt;&lt;Q&gt;UNM^FF_STK_CHG_CF(,12/2020,,,,LOCAL)&lt;/Q&gt;&lt;R&gt;1&lt;/R&gt;&lt;C&gt;1&lt;/C&gt;&lt;D xsi:type="xsd:double"&gt;4.4&lt;/D&gt;&lt;/FQL&gt;&lt;FQL&gt;&lt;Q&gt;UNM^FF_STK_CHG_CF(,12/2021,,,,LOCAL)&lt;/Q&gt;&lt;R&gt;1&lt;/R&gt;&lt;C&gt;1&lt;/C&gt;&lt;D xsi:type="xsd:double"&gt;-46.6&lt;/D&gt;&lt;/FQL&gt;&lt;FQL&gt;&lt;Q&gt;UNM^FF_STK_CHG_CF(,12/2022,,,,LOCAL)&lt;/Q&gt;&lt;R&gt;1&lt;/R&gt;&lt;C&gt;1&lt;/C&gt;&lt;D xsi:type="xsd:double"&gt;-196.1&lt;/D&gt;&lt;/FQL&gt;&lt;FQL&gt;&lt;Q&gt;UNM^FF_FIN_ACTIV_OTH_CF(,12/2012,,,,LOCAL)&lt;/Q&gt;&lt;R&gt;1&lt;/R&gt;&lt;C&gt;1&lt;/C&gt;&lt;D xsi:type="xsd:double"&gt;0.2&lt;/D&gt;&lt;/FQL&gt;&lt;FQL&gt;&lt;Q&gt;UNM^FF_FIN_ACTIV_OTH_CF(,12/2013,,,,LOCAL)&lt;/Q&gt;&lt;R&gt;1&lt;/R&gt;&lt;C&gt;1&lt;/C&gt;&lt;D xsi:type="xsd:double"&gt;-27&lt;/D&gt;&lt;/FQL&gt;&lt;FQL&gt;&lt;Q&gt;UNM^FF_FIN_ACTIV_OTH_CF(,12/2014,,,,LOCAL)&lt;/Q&gt;&lt;R&gt;1&lt;/R&gt;&lt;C&gt;1&lt;/C&gt;&lt;D xsi:type="xsd:double"&gt;-36.1&lt;/D&gt;&lt;/FQL&gt;&lt;FQL&gt;&lt;Q&gt;UNM^FF_FIN_ACTIV_OTH_CF(,12/2015,,,,LOCAL)&lt;/Q&gt;&lt;R&gt;1&lt;/R&gt;&lt;C&gt;1&lt;/C&gt;&lt;D xsi:type="xsd:double"&gt;-28.1&lt;/D&gt;&lt;/FQL&gt;&lt;FQL&gt;&lt;Q&gt;UNM^FF_FIN_ACTIV_OTH_CF(,12/2016,,,,LOCAL)&lt;/Q&gt;&lt;R&gt;1&lt;/R&gt;&lt;C&gt;1&lt;/C&gt;&lt;D xsi:type="xsd:double"&gt;-34.4&lt;/D&gt;&lt;/FQL&gt;&lt;FQL&gt;&lt;Q&gt;UNM^FF_FIN_ACTIV_OTH_CF(,12/2017,,,,LOCAL)&lt;/Q&gt;&lt;R&gt;1&lt;/R&gt;&lt;C&gt;1&lt;/C&gt;&lt;D xsi:type="xsd:double"&gt;-37.3&lt;/D&gt;&lt;/FQL&gt;&lt;FQL&gt;&lt;Q&gt;UNM^FF_FIN_ACTIV_OTH_CF(,12/2018,,,,LOCAL)&lt;/Q&gt;&lt;R&gt;1&lt;/R&gt;&lt;C&gt;1&lt;/C&gt;&lt;D xsi:type="xsd:double"&gt;-53.3&lt;/D&gt;&lt;/FQL&gt;&lt;FQL&gt;&lt;Q&gt;UNM^FF_FIN_ACTIV_OTH_CF(,12/2019,,,,LOCAL)&lt;/Q&gt;&lt;R&gt;1&lt;/R&gt;&lt;C&gt;1&lt;/C&gt;&lt;D xsi:type="xsd:double"&gt;-83.4&lt;/D&gt;&lt;/FQL&gt;&lt;FQL&gt;&lt;Q&gt;UNM^FF_FIN_ACTIV_OTH_CF(,12/2020,,,,LOCAL)&lt;/Q&gt;&lt;R&gt;1&lt;/R&gt;&lt;C&gt;1&lt;/C&gt;&lt;D xsi:type="xsd:double"&gt;-3.5&lt;/D&gt;&lt;/FQL&gt;&lt;FQL&gt;&lt;Q&gt;UNM^FF_FIN_ACTIV_OTH_CF(,12/2021,,,,LOCAL)&lt;/Q&gt;&lt;R&gt;1&lt;/R&gt;&lt;C&gt;1&lt;/C&gt;&lt;D xsi:type="xsd:double"&gt;29&lt;/D&gt;&lt;/FQL&gt;&lt;FQL&gt;&lt;Q&gt;UNM^FF_FIN_ACTIV_OTH_CF(,12/2022,,,,LOCAL)&lt;/Q&gt;&lt;R&gt;1&lt;/R&gt;&lt;C&gt;1&lt;/C&gt;&lt;D xsi:type="xsd:double"&gt;46.5&lt;/D&gt;&lt;/FQL&gt;&lt;FQL&gt;&lt;Q&gt;UNM^FF_FIN_CF(,12/2012,,,,LOCAL)&lt;/Q&gt;&lt;R&gt;1&lt;/R&gt;&lt;C&gt;1&lt;/C&gt;&lt;D xsi:type="xsd:double"&gt;-305.5&lt;/D&gt;&lt;/FQL&gt;&lt;FQL&gt;&lt;Q&gt;UNM^FF_FIN_CF(,12/2013,,,,LOCAL)&lt;/Q&gt;&lt;R&gt;1&lt;/R&gt;&lt;C&gt;1&lt;/C&gt;&lt;D xsi:type="xsd:double"&gt;-974.8&lt;/D&gt;&lt;/FQL&gt;&lt;FQL&gt;&lt;Q&gt;UNM^FF_FIN_CF(,12/2014,,,,LOCAL)&lt;/Q&gt;&lt;R&gt;1&lt;/R&gt;&lt;C&gt;1&lt;/C&gt;&lt;D xsi:type="xsd:double"&gt;-328.6&lt;/D&gt;&lt;/FQL&gt;&lt;FQL&gt;&lt;Q&gt;UNM^FF_FIN_CF(,12/2015,,,,LOCAL)&lt;/Q&gt;&lt;R&gt;1&lt;/R&gt;&lt;C&gt;1&lt;/C&gt;&lt;D xsi:type="xsd:double"&gt;-568.7&lt;/D&gt;&lt;/FQL&gt;&lt;FQL&gt;&lt;Q&gt;UNM^FF_FIN_CF(,12/2016,,,,LOCAL)&lt;/Q&gt;&lt;R&gt;1&lt;/R&gt;&lt;C&gt;1&lt;/C&gt;&lt;D xsi:type="xsd:double"&gt;-418.6&lt;/D&gt;&lt;/FQL&gt;&lt;FQL&gt;&lt;Q&gt;UNM^FF_FIN_CF(,12/2017,,,,LOCAL)&lt;/Q&gt;&lt;R&gt;1&lt;/R&gt;&lt;C&gt;1&lt;/C&gt;&lt;D xsi:type="xsd:double"&gt;-687.8&lt;/D&gt;&lt;/FQL&gt;&lt;FQL&gt;&lt;Q&gt;UNM^FF_FIN_CF(,12/2018,,,,LOCAL)&lt;/Q&gt;&lt;R&gt;1&lt;/R&gt;&lt;C&gt;1&lt;/C&gt;&lt;D xsi:type="xsd:double"&gt;-589.8&lt;/D&gt;&lt;/FQL&gt;&lt;FQL&gt;&lt;Q&gt;UNM^FF_FIN_CF(,12/2019,,,,LOCAL)&lt;/Q&gt;&lt;R&gt;1&lt;/R&gt;&lt;C&gt;1&lt;/C&gt;&lt;D xsi:type="xsd:double"&gt;-358&lt;/D&gt;&lt;/FQL&gt;&lt;FQL&gt;&lt;Q&gt;UNM^FF_FIN_CF(,12/2020,,,,LOCAL)&lt;/Q&gt;&lt;R&gt;1&lt;/R&gt;&lt;C&gt;1&lt;/C&gt;&lt;D xsi:type="xsd:double"&gt;-216.9&lt;/D&gt;&lt;/FQL&gt;&lt;FQL&gt;&lt;Q&gt;UNM^FF_FIN_CF(,12/2021,,,,LOCAL)&lt;/Q&gt;&lt;R&gt;1&lt;/R&gt;&lt;C&gt;1&lt;/C&gt;&lt;D xsi:type="xsd:double"&gt;-168.9&lt;/D&gt;&lt;/FQL&gt;&lt;FQL&gt;&lt;Q&gt;UNM^FF_FIN_CF(,12/2022,,,,LOCAL)&lt;/Q&gt;&lt;R&gt;1&lt;/R&gt;&lt;C&gt;1&lt;/C&gt;&lt;D xsi:type="xsd:double"&gt;-418.6&lt;/D&gt;&lt;/FQL&gt;&lt;FQL&gt;&lt;Q&gt;UNM^FF_FOR_EXCH_CF(,12/2012,,,,LOCAL)&lt;/Q&gt;&lt;R&gt;0&lt;/R&gt;&lt;C&gt;0&lt;/C&gt;&lt;/FQL&gt;&lt;FQL&gt;&lt;Q&gt;UNM^FF_FOR_EXCH_CF(,12/2013,,,,LOCAL)&lt;/Q&gt;&lt;R&gt;0&lt;/R&gt;&lt;C&gt;0&lt;/C&gt;&lt;/FQL&gt;&lt;FQL&gt;&lt;Q&gt;UNM^FF_FOR_EXCH_CF(,12/2014,,,,LOCAL)&lt;/Q&gt;&lt;R&gt;0&lt;/R&gt;&lt;C&gt;0&lt;/C&gt;&lt;/FQL&gt;&lt;FQL&gt;&lt;Q&gt;UNM^FF_FOR_EXCH_CF(,12/2015,,,,LOCAL)&lt;/Q&gt;&lt;R&gt;0&lt;/R&gt;&lt;C&gt;0&lt;/C&gt;&lt;/FQL&gt;&lt;FQL&gt;&lt;Q&gt;UNM^FF_FOR_EXCH_CF(,12/2016,,,,LOCAL)&lt;/Q&gt;&lt;R&gt;0&lt;/R&gt;&lt;C&gt;0&lt;/C&gt;&lt;/FQL&gt;&lt;FQL&gt;&lt;Q&gt;UNM^FF_FOR_EXCH_CF(,12/2017,,,,LOCAL)&lt;/Q&gt;&lt;R&gt;0&lt;/R&gt;&lt;C&gt;0&lt;/C&gt;&lt;/FQL&gt;&lt;FQL&gt;&lt;Q&gt;UNM^FF_FOR_EXCH_CF(,12/2018,,,,LOCAL)&lt;/Q&gt;&lt;R&gt;0&lt;/R&gt;&lt;C&gt;0&lt;/C&gt;&lt;/FQL&gt;&lt;FQL&gt;&lt;Q&gt;UNM^FF_FOR_EXCH_CF(,12/2019,,,,LOCAL)&lt;/Q&gt;&lt;R&gt;0&lt;/R&gt;&lt;C&gt;0&lt;/C&gt;&lt;/FQL&gt;&lt;FQL&gt;&lt;Q&gt;UNM^FF_FOR_EXCH_CF(,12/2020,,,,LOCAL)&lt;/Q&gt;&lt;R&gt;0&lt;/R&gt;&lt;C&gt;0&lt;/C&gt;&lt;/FQL&gt;&lt;FQL&gt;&lt;Q&gt;UNM^FF_FOR_EXCH_CF(,12/2021,,,,LOCAL)&lt;/Q&gt;&lt;R&gt;0&lt;/R&gt;&lt;C&gt;0&lt;/C&gt;&lt;/FQL&gt;&lt;FQL&gt;&lt;Q&gt;UNM^FF_FOR_EXCH_CF(,12/2022,,,,LOCAL)&lt;/Q&gt;&lt;R&gt;0&lt;/R&gt;&lt;C&gt;0&lt;/C&gt;&lt;/FQL&gt;&lt;FQL&gt;&lt;Q&gt;UNM^FF_CHG_CASH_CF(,12/2012,,,,LOCAL)&lt;/Q&gt;&lt;R&gt;1&lt;/R&gt;&lt;C&gt;1&lt;/C&gt;&lt;D xsi:type="xsd:double"&gt;-39.3&lt;/D&gt;&lt;/FQL&gt;&lt;FQL&gt;&lt;Q&gt;UNM^FF_CHG_CASH_CF(,12/2013,,,,LOCAL)&lt;/Q&gt;&lt;R&gt;1&lt;/R&gt;&lt;C&gt;1&lt;/C&gt;&lt;D xsi:type="xsd:double"&gt;16.8&lt;/D&gt;&lt;/FQL&gt;&lt;FQL&gt;&lt;Q&gt;UNM^FF_CHG_CASH_CF(,12/2014,,,,LOCAL)&lt;/Q&gt;&lt;R&gt;1&lt;/R&gt;&lt;C&gt;1&lt;/C&gt;&lt;D xsi:type="xsd:double"&gt;8.4&lt;/D&gt;&lt;/FQL&gt;&lt;FQL&gt;&lt;Q&gt;UNM^FF_CHG_CASH_CF(,12/2015,,,,LOCAL)&lt;/Q&gt;&lt;R&gt;1&lt;/R&gt;&lt;C&gt;1&lt;/C&gt;&lt;D xsi:type="xsd:double"&gt;10.4&lt;/D&gt;&lt;/FQL&gt;&lt;FQL&gt;&lt;Q&gt;UNM^FF_CHG_CASH_CF(,12/2016,,,,LOCAL)&lt;/Q&gt;&lt;R&gt;1&lt;/R&gt;&lt;C&gt;1&lt;/C&gt;&lt;D xsi:type="xsd:double"&gt;-12.5&lt;/D&gt;&lt;/FQL&gt;&lt;FQL&gt;&lt;Q&gt;UNM^FF_CHG_CASH_CF(,12/2017,,,,LOCAL)&lt;/Q&gt;&lt;R&gt;1&lt;/R&gt;&lt;C&gt;1&lt;/C&gt;&lt;D xsi:type="xsd:double"&gt;-23&lt;/D&gt;&lt;/FQL&gt;&lt;FQL&gt;&lt;Q&gt;UNM^FF_CHG_CASH_CF(,12/2018,,,,LOCAL)&lt;/Q&gt;&lt;R&gt;1&lt;/R&gt;&lt;C&gt;1&lt;/C&gt;&lt;D xsi:type="xsd:double"&gt;16.6&lt;/D&gt;&lt;/FQL&gt;&lt;FQL&gt;&lt;Q&gt;UNM^FF_CHG_CASH_CF(,12/2019,,,,LOCAL)&lt;/Q&gt;&lt;R&gt;1&lt;/R&gt;&lt;C&gt;1&lt;/C&gt;&lt;D xsi:type="xsd:double"&gt;-9.9&lt;/D&gt;&lt;/FQL&gt;&lt;FQL&gt;&lt;Q&gt;UNM^FF_CHG_CASH_CF(,12/2020,,,,LOCAL)&lt;/Q&gt;&lt;R&gt;1&lt;/R&gt;&lt;C&gt;1&lt;/C&gt;&lt;D xsi:type="xsd:double"&gt;112.9&lt;/D&gt;&lt;/FQL&gt;&lt;FQL&gt;&lt;Q&gt;UNM^FF_CHG_CASH_CF(,12/2021,,,,LOCAL)&lt;/Q&gt;&lt;R&gt;1&lt;/R&gt;&lt;C&gt;1&lt;/C&gt;&lt;D xsi:type="xsd:double"&gt;-122&lt;/D&gt;&lt;/FQL&gt;&lt;FQL&gt;&lt;Q&gt;UNM^FF_CHG_CASH_CF(,12/2022,,,,LOCAL)&lt;/Q&gt;&lt;R&gt;1&lt;/R&gt;&lt;C&gt;1&lt;/C&gt;&lt;D xsi:type="xsd:double"&gt;44.2&lt;/D&gt;&lt;/FQL&gt;&lt;FQL&gt;&lt;Q&gt;UNM^FF_FREE_CF(,12/2012,,,,LOCAL)&lt;/Q&gt;&lt;R&gt;1&lt;/R&gt;&lt;C&gt;1&lt;/C&gt;&lt;D xsi:type="xsd:double"&gt;1245.8&lt;/D&gt;&lt;/FQL&gt;&lt;FQL&gt;&lt;Q&gt;UNM^FF_FREE_CF(,12/2013,,,,LOCAL)&lt;/Q&gt;&lt;R&gt;1&lt;/R&gt;&lt;C&gt;1&lt;/C&gt;&lt;D xsi:type="xsd:double"&gt;779.5&lt;/D&gt;&lt;/FQL&gt;&lt;FQL&gt;&lt;Q&gt;UNM^FF_FREE_CF(,12/2014,,,,LOCAL)&lt;/Q&gt;&lt;R&gt;1&lt;/R&gt;&lt;C&gt;1&lt;/C&gt;&lt;D xsi:type="xsd:double"&gt;949.7&lt;/D&gt;&lt;/FQL&gt;&lt;FQL&gt;&lt;Q&gt;UNM^FF_FREE_CF(,12/2015,,,,LOCAL)&lt;/Q&gt;&lt;R&gt;1&lt;/R&gt;&lt;C&gt;1&lt;/C&gt;&lt;D xsi:type="xsd:double"&gt;1017.7&lt;/D&gt;&lt;/FQL&gt;&lt;FQL&gt;&lt;Q&gt;UNM^FF_FREE_CF(,12/2016,,,,LOCAL)&lt;/Q&gt;&lt;R&gt;1&lt;/R&gt;&lt;C&gt;1&lt;/C&gt;&lt;D xsi:type="xsd:double"&gt;848.5&lt;/D&gt;&lt;/FQL&gt;&lt;FQL&gt;&lt;Q&gt;UNM^FF_FREE_CF(,12/2017,,,,LOCAL)&lt;/Q&gt;&lt;R&gt;1&lt;/R&gt;&lt;C&gt;1&lt;/C&gt;&lt;D xsi:type="xsd:double"&gt;862.8&lt;/D&gt;&lt;/FQL&gt;&lt;FQL&gt;&lt;Q&gt;UNM^FF_FREE_CF(,12/2018,,,,LOCAL)&lt;/Q&gt;&lt;R&gt;1&lt;/R&gt;&lt;C&gt;1&lt;/C&gt;&lt;D xsi:type="xsd:double"&gt;1176.8&lt;/D&gt;&lt;/FQL&gt;&lt;FQL&gt;&lt;Q&gt;UNM^FF_FREE_CF(,12/2019,,,,LOCAL)&lt;/Q&gt;&lt;R&gt;1&lt;/R&gt;&lt;C&gt;1&lt;/C&gt;&lt;D xsi:type="xsd:double"&gt;1361.5&lt;/D&gt;&lt;/FQL&gt;&lt;FQL&gt;&lt;Q&gt;UNM^FF_FREE_CF(,12/2020,,,,LOCAL)&lt;/Q&gt;&lt;R&gt;1&lt;/R&gt;&lt;C&gt;1&lt;/C&gt;&lt;D xsi:type="xsd:double"&gt;246.5&lt;/D&gt;&lt;/FQL&gt;&lt;FQL&gt;&lt;Q&gt;UNM^FF_FREE_CF(,12/2021,,,,LOCAL)&lt;/Q&gt;&lt;R&gt;1&lt;/R&gt;&lt;C&gt;1&lt;/C&gt;&lt;D xsi:type="xsd:double"&gt;1037.8&lt;/D&gt;&lt;/FQL&gt;&lt;FQL&gt;&lt;Q&gt;UNM^FF_FREE_CF(,12/2022,,,,LOCAL)&lt;/Q&gt;&lt;R&gt;1&lt;/R&gt;&lt;C&gt;1&lt;/C&gt;&lt;D xsi:type="xsd:double"&gt;1062.3&lt;/D&gt;&lt;/FQL&gt;&lt;FQL&gt;&lt;Q&gt;UNM^FF_FREE_PS_CF(,12/2012,,,,LOCAL)&lt;/Q&gt;&lt;R&gt;1&lt;/R&gt;&lt;C&gt;1&lt;/C&gt;&lt;D xsi:type="xsd:double"&gt;4.42154368590217&lt;/D&gt;&lt;/FQL&gt;&lt;FQL&gt;&lt;Q&gt;UNM^FF_FREE_PS_CF(,12/2013,,,,LOCAL)&lt;/Q&gt;&lt;R&gt;1&lt;/R&gt;&lt;C&gt;1&lt;/C&gt;&lt;D xsi:type="xsd:double"&gt;2.93101088478552&lt;/D&gt;&lt;/FQL&gt;&lt;FQL&gt;&lt;Q&gt;UNM^FF_FREE_PS_CF(,12/2014,,,,LOCAL)&lt;/Q&gt;&lt;R&gt;1&lt;/R&gt;&lt;C&gt;1&lt;/C&gt;&lt;D xsi:type="xsd:double"&gt;3.70032978405067&lt;/D&gt;&lt;/FQL&gt;&lt;FQL&gt;&lt;Q&gt;UNM^FF_FREE_PS_CF(,12/2015,,,,LOCAL)&lt;/Q&gt;&lt;R&gt;1&lt;/R&gt;&lt;C&gt;1&lt;/C&gt;&lt;D xsi:type="xsd:double"&gt;4.10603470501064&lt;/D&gt;&lt;/FQL&gt;&lt;FQL&gt;&lt;Q&gt;UNM^FF_FREE_PS_CF(,12/2016,,,,LOCAL)&lt;/Q&gt;&lt;R&gt;1&lt;/R&gt;&lt;C&gt;1&lt;/C&gt;&lt;D xsi:type="xsd:double"&gt;3.59565588831558&lt;/D&gt;&lt;/FQL&gt;&lt;FQL&gt;&lt;Q&gt;UNM^FF_FREE_PS_CF(,12/2017,,,,LOCAL)&lt;/Q&gt;&lt;R&gt;1&lt;/R&gt;&lt;C&gt;1&lt;/C&gt;&lt;D xsi:type="xsd:double"&gt;3.79527675432577&lt;/D&gt;&lt;/FQL&gt;&lt;FQL&gt;&lt;Q&gt;UNM^FF_FREE_PS_CF(,12/2018,,,,LOCAL)&lt;/Q&gt;&lt;R&gt;1&lt;/R&gt;&lt;C&gt;1&lt;/C&gt;&lt;D xsi:type="xsd:double"&gt;5.34766648519985&lt;/D&gt;&lt;/FQL&gt;&lt;FQL&gt;&lt;Q&gt;UNM^FF_FREE_PS_CF(,12/2019,,,,LOCAL)&lt;/Q&gt;&lt;R&gt;1&lt;/R&gt;&lt;C&gt;1&lt;/C&gt;&lt;D xsi:type="xsd:double"&gt;6.48783156321716&lt;/D&gt;&lt;/FQL&gt;&lt;FQL&gt;&lt;Q&gt;UNM^FF_FREE_PS_CF(,12/2020,,,,LOCAL)&lt;/Q&gt;&lt;R&gt;1&lt;/R&gt;&lt;C&gt;1&lt;/C&gt;&lt;D xsi:type="xsd:double"&gt;1.20978448167974&lt;/D&gt;&lt;/FQL&gt;&lt;FQL&gt;&lt;Q&gt;UNM^FF_FREE_PS_CF(,12/2021,,,,LOCAL)&lt;/Q&gt;&lt;R&gt;1&lt;/R&gt;&lt;C&gt;1&lt;/C&gt;&lt;D xsi:type="xsd:double"&gt;5.06619789609754&lt;/D&gt;&lt;/FQL&gt;&lt;FQL&gt;&lt;Q&gt;UNM^FF_FREE_PS_CF(,12/2022,,,,LOCAL)&lt;/Q&gt;&lt;R&gt;1&lt;/R&gt;&lt;C&gt;1&lt;/C&gt;&lt;D xsi:type="xsd:double"&gt;5.25606428993407&lt;/D&gt;&lt;/FQL&gt;&lt;FQL&gt;&lt;Q&gt;UNM^FF_FCF_YLD(,12/2012,,,,LOCAL)&lt;/Q&gt;&lt;R&gt;1&lt;/R&gt;&lt;C&gt;1&lt;/C&gt;&lt;D xsi:type="xsd:double"&gt;21.2370013732093&lt;/D&gt;&lt;/FQL&gt;&lt;FQL&gt;&lt;Q&gt;UNM^FF_FCF_YLD(,12/2013,,,,LOCAL)&lt;/Q&gt;&lt;R&gt;1&lt;/R&gt;&lt;C&gt;1&lt;/C&gt;&lt;D xsi:type="xsd:double"&gt;8.35521916985609&lt;/D&gt;&lt;/FQL&gt;&lt;FQL&gt;&lt;Q&gt;UNM^FF_FCF_YLD(,12/2014,,,,LOCAL)&lt;/Q&gt;&lt;R&gt;1&lt;/R&gt;&lt;C&gt;1&lt;/C&gt;&lt;D xsi:type="xsd:double"&gt;10.6087436469343&lt;/D&gt;&lt;/FQL&gt;&lt;FQL&gt;&lt;Q&gt;UNM^FF_FCF_YLD(,12/2015,,,,LOCAL)&lt;/Q&gt;&lt;R&gt;1&lt;/R&gt;&lt;C&gt;1&lt;/C&gt;&lt;D xsi:type="xsd:double"&gt;12.3341384950755&lt;/D&gt;&lt;/FQL&gt;&lt;FQL&gt;&lt;Q&gt;UNM^FF_FCF_YLD(,12/2016,,,,LOCAL)&lt;/Q&gt;&lt;R&gt;1&lt;/R&gt;&lt;C&gt;1&lt;/C&gt;&lt;D xsi:type="xsd:double"&gt;8.18496673871063&lt;/D&gt;&lt;/FQL&gt;&lt;FQL&gt;&lt;Q&gt;UNM^FF_FCF_YLD(,12/2017,,,,LOCAL)&lt;/Q&gt;&lt;R&gt;1&lt;/R&gt;&lt;C&gt;1&lt;/C&gt;&lt;D xsi:type="xsd:double"&gt;6.91433185339&lt;/D&gt;&lt;/FQL&gt;&lt;FQL&gt;&lt;Q&gt;UNM^FF_FCF_YLD(,12/2018,,,,LOCAL)&lt;/Q&gt;&lt;R&gt;1&lt;/R&gt;&lt;C&gt;1&lt;/C&gt;&lt;D xsi:type="xsd:double"&gt;18.2017239115039&lt;/D&gt;&lt;/FQL&gt;&lt;FQL&gt;&lt;Q&gt;UNM^FF_FCF_YLD(,12/2019,,,,LOCAL)&lt;/Q&gt;&lt;R&gt;1&lt;/R&gt;&lt;C&gt;1&lt;/C&gt;&lt;D xsi:type="xsd:double"&gt;22.2490794349011&lt;/D&gt;&lt;/FQL&gt;&lt;FQL&gt;&lt;Q&gt;UNM^FF_FCF_YLD(,12/2020,,,,LOCAL)&lt;/Q&gt;&lt;R&gt;1&lt;/R&gt;&lt;C&gt;1&lt;/C&gt;&lt;D xsi:type="xsd:double"&gt;5.27368998116713&lt;/D&gt;&lt;/FQL&gt;&lt;FQL&gt;&lt;Q&gt;UNM^FF_FCF_YLD(,12/2021,,,,LOCAL)&lt;/Q&gt;&lt;R&gt;1&lt;/R&gt;&lt;C&gt;1&lt;/C&gt;&lt;D xsi:type="xsd:double"&gt;20.6194460565631&lt;/D&gt;&lt;/FQL&gt;&lt;FQL&gt;&lt;Q&gt;UNM^FF_FCF_YLD(,12/2022,,,,LOCAL)&lt;/Q&gt;&lt;R&gt;1&lt;/R&gt;&lt;C&gt;1&lt;/C&gt;&lt;D xsi:type="xsd:double"&gt;12.8102956128054&lt;/D&gt;&lt;/FQL&gt;&lt;FQL&gt;&lt;Q&gt;SP50^FG_NAME_IDX&lt;/Q&gt;&lt;R&gt;1&lt;/R&gt;&lt;C&gt;1&lt;/C&gt;&lt;D xsi:type="xsd:string"&gt;S&amp;amp;P 500&lt;/D&gt;&lt;/FQL&gt;&lt;FQL&gt;&lt;Q&gt;UNM^FG_COMPANY_NAME&lt;/Q&gt;&lt;R&gt;1&lt;/R&gt;&lt;C&gt;1&lt;/C&gt;&lt;D xsi:type="xsd:string"&gt;Unum Group&lt;/D&gt;&lt;/FQL&gt;&lt;/Schema&gt;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Thinnes, Henry</author>
  </authors>
  <commentList>
    <comment ref="BM2" authorId="0" shapeId="0" xr:uid="{71E9810F-D4A3-4087-9FC4-E0BA5540026F}">
      <text>
        <r>
          <rPr>
            <b/>
            <sz val="9"/>
            <color indexed="81"/>
            <rFont val="Tahoma"/>
            <family val="2"/>
          </rPr>
          <t xml:space="preserve">Thinnes, Henry:
</t>
        </r>
        <r>
          <rPr>
            <sz val="9"/>
            <color indexed="81"/>
            <rFont val="Tahoma"/>
            <family val="2"/>
          </rPr>
          <t>NTM</t>
        </r>
      </text>
    </comment>
    <comment ref="BM5" authorId="0" shapeId="0" xr:uid="{A70D926F-BDD4-4A54-9960-6F3B317746A5}">
      <text>
        <r>
          <rPr>
            <b/>
            <sz val="9"/>
            <color indexed="81"/>
            <rFont val="Tahoma"/>
            <family val="2"/>
          </rPr>
          <t xml:space="preserve">Thinnes, Henry:
</t>
        </r>
        <r>
          <rPr>
            <sz val="9"/>
            <color indexed="81"/>
            <rFont val="Tahoma"/>
            <family val="2"/>
          </rPr>
          <t>NTM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Henry</author>
  </authors>
  <commentList>
    <comment ref="D25" authorId="0" shapeId="0" xr:uid="{65665DC9-A377-43DF-9F77-68F0B3382D00}">
      <text>
        <r>
          <rPr>
            <b/>
            <sz val="9"/>
            <color indexed="81"/>
            <rFont val="Tahoma"/>
            <family val="2"/>
          </rPr>
          <t>Henry:</t>
        </r>
        <r>
          <rPr>
            <sz val="9"/>
            <color indexed="81"/>
            <rFont val="Tahoma"/>
            <family val="2"/>
          </rPr>
          <t xml:space="preserve">
When zeroing out the model, if the FY1 Diluted EPS doesn't equal FY0 - in this cell, alternate this FactSet code for the EPS variable between 'EAG' to 'EPS'.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<sst xmlns="http://schemas.openxmlformats.org/spreadsheetml/2006/main" count="2327" uniqueCount="656">
  <si>
    <t>This sheet contains FactSet XML data for use with this workbook's =FDS codes.  Modifying the worksheet's contents may damage the workbook's =FDS functionality.</t>
  </si>
  <si>
    <t>Data Options</t>
  </si>
  <si>
    <t>Choice "1"</t>
  </si>
  <si>
    <t>Choice "2"</t>
  </si>
  <si>
    <t>Description</t>
  </si>
  <si>
    <t>GAAP/IFRS vs. Adjusted</t>
  </si>
  <si>
    <t>GAAP/IFRS</t>
  </si>
  <si>
    <t>Adjusted</t>
  </si>
  <si>
    <t>By selecting the "Adjusted" option, the adjusted data will appear when available but only if "Includes restatements" is selected below</t>
  </si>
  <si>
    <t>Restated vs. Original</t>
  </si>
  <si>
    <t>Includes restatements</t>
  </si>
  <si>
    <t>Excludes restatements</t>
  </si>
  <si>
    <t>By select the option to "Exclude restatements" the company's original data will appear if a restatement occurred</t>
  </si>
  <si>
    <t>Mean vs. Median estimate</t>
  </si>
  <si>
    <t>MEAN</t>
  </si>
  <si>
    <t>MEDIAN</t>
  </si>
  <si>
    <t>For the forecast periods can be pulled as the "mean" or "median" of all analysts who provide the line item to FactSet</t>
  </si>
  <si>
    <t>Currency</t>
  </si>
  <si>
    <t>The default is local currency</t>
  </si>
  <si>
    <t>"As Reported" vs. "Standardized"</t>
  </si>
  <si>
    <t>Data with a green font is from FactSet's "standardized" database whereas orange is from the "Broker Actuals"</t>
  </si>
  <si>
    <t>LOCAL</t>
  </si>
  <si>
    <t>Green font:</t>
  </si>
  <si>
    <t>GAAP/IFRS data</t>
  </si>
  <si>
    <t>Do not make any changes right of this column</t>
  </si>
  <si>
    <t>Do not remove the text below (they toggle options to the left)</t>
  </si>
  <si>
    <t>Blue #0070C0</t>
  </si>
  <si>
    <t>Orange font:</t>
  </si>
  <si>
    <t>Broker Actual data</t>
  </si>
  <si>
    <t>Identifier</t>
  </si>
  <si>
    <t>Mean</t>
  </si>
  <si>
    <t>Median</t>
  </si>
  <si>
    <t>Data Pulls from FactSet "Standardized" (not as reported by the companies)</t>
  </si>
  <si>
    <t>Blue font:</t>
  </si>
  <si>
    <t>Analyst assumption</t>
  </si>
  <si>
    <t>Incl. restate</t>
  </si>
  <si>
    <t>Excl. restate</t>
  </si>
  <si>
    <t>Black font:</t>
  </si>
  <si>
    <t>Manually entered historical data or formula (don't overwrite)</t>
  </si>
  <si>
    <t>Ann_R</t>
  </si>
  <si>
    <t>Ann</t>
  </si>
  <si>
    <t>All in millions except per share data.</t>
  </si>
  <si>
    <t>-10FY</t>
  </si>
  <si>
    <t>-9FY</t>
  </si>
  <si>
    <t>-8FY</t>
  </si>
  <si>
    <t>-7FY</t>
  </si>
  <si>
    <t>-6FY</t>
  </si>
  <si>
    <t>-5FY</t>
  </si>
  <si>
    <t>-4FY</t>
  </si>
  <si>
    <t>-3FY</t>
  </si>
  <si>
    <t>-2FY</t>
  </si>
  <si>
    <t>-1FY</t>
  </si>
  <si>
    <t>0FY</t>
  </si>
  <si>
    <t>1FY</t>
  </si>
  <si>
    <t>2FY</t>
  </si>
  <si>
    <t>3FY</t>
  </si>
  <si>
    <t>FactSet Database</t>
  </si>
  <si>
    <t>FactSet FE Code</t>
  </si>
  <si>
    <t>Fiscal Period</t>
  </si>
  <si>
    <t>INCOME STATEMENT (always on row 8)</t>
  </si>
  <si>
    <t>Company Specific Revenue Breakdown (manually entered)</t>
  </si>
  <si>
    <t>Date of Hardcoded Revenue and Expenses---&gt;</t>
  </si>
  <si>
    <t>Dec '12</t>
  </si>
  <si>
    <t>Dec '13</t>
  </si>
  <si>
    <t>Dec '14</t>
  </si>
  <si>
    <t>Dec '15</t>
  </si>
  <si>
    <t>Dec '16</t>
  </si>
  <si>
    <t>Dec '17</t>
  </si>
  <si>
    <t>Dec '18</t>
  </si>
  <si>
    <t>Dec '19</t>
  </si>
  <si>
    <t>Dec '20</t>
  </si>
  <si>
    <t>Dec '21</t>
  </si>
  <si>
    <t>Dec '22</t>
  </si>
  <si>
    <t>Total Segment Revenue</t>
  </si>
  <si>
    <t>YoY Change</t>
  </si>
  <si>
    <t>Difference between Segment and Broker Actual Revenue</t>
  </si>
  <si>
    <t>As a percentage of revenue</t>
  </si>
  <si>
    <t>Broker Actual Total Revenue</t>
  </si>
  <si>
    <t>FE_ESTIMATE</t>
  </si>
  <si>
    <t>SALES</t>
  </si>
  <si>
    <t>Company Specific Expense Breakdown (manually entered)</t>
  </si>
  <si>
    <t>Total Expenses from breakdown above</t>
  </si>
  <si>
    <t>Operating Income</t>
  </si>
  <si>
    <t>EBIT</t>
  </si>
  <si>
    <t>Operating Margin</t>
  </si>
  <si>
    <t>YoY Change (Point)</t>
  </si>
  <si>
    <t>Implied Interest Rate</t>
  </si>
  <si>
    <t>Imputed Interest Expenses (from the BS)</t>
  </si>
  <si>
    <t>Interest Expense, Net</t>
  </si>
  <si>
    <t>INT_EXP</t>
  </si>
  <si>
    <t>Non-Op. Income (Expense)</t>
  </si>
  <si>
    <t>Unusual Expense</t>
  </si>
  <si>
    <t>Pre-Tax Income Plug Figure to reconcile Broker Actuals</t>
  </si>
  <si>
    <t>Pretax Income (Loss)</t>
  </si>
  <si>
    <t>PTX_INC</t>
  </si>
  <si>
    <t>Income Taxes</t>
  </si>
  <si>
    <t>TAX_EXPENSE</t>
  </si>
  <si>
    <t>Tax Rate (based on GAAP)</t>
  </si>
  <si>
    <t>Net Income Plug Figure to reconcile Broker Actuals</t>
  </si>
  <si>
    <t>Net Income</t>
  </si>
  <si>
    <t>NET_INC</t>
  </si>
  <si>
    <t>Assumed P/E ratio</t>
  </si>
  <si>
    <t>Assumed Stock Price</t>
  </si>
  <si>
    <t>Assumed Shares Repurchased</t>
  </si>
  <si>
    <t>Imputed Diluted Weighted Avg Shares</t>
  </si>
  <si>
    <t>Diluted Weighted Avg Shares Outstanding</t>
  </si>
  <si>
    <t>Diluted Earnings Per Share (EPS)</t>
  </si>
  <si>
    <t>BALANCE SHEET (always on row 150)</t>
  </si>
  <si>
    <t>Cash &amp; Equivalents</t>
  </si>
  <si>
    <t>Accounts Receivable</t>
  </si>
  <si>
    <t>As a % of Revenue</t>
  </si>
  <si>
    <t>Inventories</t>
  </si>
  <si>
    <t>INVENTORIES</t>
  </si>
  <si>
    <t>Current Assets</t>
  </si>
  <si>
    <t>PP&amp;E</t>
  </si>
  <si>
    <t>Intangibles</t>
  </si>
  <si>
    <t>Total Assets</t>
  </si>
  <si>
    <t>Accounts Payable</t>
  </si>
  <si>
    <t>Current Liabilities</t>
  </si>
  <si>
    <t>Short Term Debt</t>
  </si>
  <si>
    <t>Long Term Debt</t>
  </si>
  <si>
    <t>Total Debt</t>
  </si>
  <si>
    <t>DEBT</t>
  </si>
  <si>
    <t>Total Liabilities</t>
  </si>
  <si>
    <t>Preferred Stock</t>
  </si>
  <si>
    <t>Stockholder's Equity</t>
  </si>
  <si>
    <t>SHLDRS_EQ</t>
  </si>
  <si>
    <t>Total Liabilities &amp; Stockholder's Equity</t>
  </si>
  <si>
    <t>CASH FLOW STATEMENT (always on row 200)</t>
  </si>
  <si>
    <t>Cash from Operating Activities</t>
  </si>
  <si>
    <t>FFO</t>
  </si>
  <si>
    <t>Depreciation &amp; Depletion</t>
  </si>
  <si>
    <t>Amortization of Intangibles</t>
  </si>
  <si>
    <t>Deferred Taxes &amp; Investment Tax Credit</t>
  </si>
  <si>
    <t>Other Funds</t>
  </si>
  <si>
    <t>Changes in Working Capital</t>
  </si>
  <si>
    <t>Net Operating Cash Flow</t>
  </si>
  <si>
    <t>CF_OP</t>
  </si>
  <si>
    <t>Cash from Investing Activities</t>
  </si>
  <si>
    <t>Capital Expenditures</t>
  </si>
  <si>
    <t>CAPEX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</si>
  <si>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</si>
  <si>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</si>
  <si>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</si>
  <si>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</si>
  <si>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</si>
  <si>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</si>
  <si>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</si>
  <si>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</si>
  <si>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CF_INV</t>
  </si>
  <si>
    <t>Net Cash from Operating and Investing</t>
  </si>
  <si>
    <t>Net cash from Operating and Investing after Div</t>
  </si>
  <si>
    <t>% for Debt</t>
  </si>
  <si>
    <t>% for Equity</t>
  </si>
  <si>
    <t>Cash from Financing Activities</t>
  </si>
  <si>
    <t>Cash Dividends</t>
  </si>
  <si>
    <t>Cash from Issuance/Reduction of Debt, Net</t>
  </si>
  <si>
    <t>Change in Capital Stock</t>
  </si>
  <si>
    <t>Net Financing Cash Flow</t>
  </si>
  <si>
    <t>CF_FIN</t>
  </si>
  <si>
    <t>Cash from All Activities</t>
  </si>
  <si>
    <t>Exchange Rate Effect</t>
  </si>
  <si>
    <t>Net Change in Cash</t>
  </si>
  <si>
    <t>Free Cash Flow</t>
  </si>
  <si>
    <t>FCF</t>
  </si>
  <si>
    <t>Free Cash Flow Per Share</t>
  </si>
  <si>
    <t>Free Cash Flow Yield (%)</t>
  </si>
  <si>
    <t>Manually entered data (do not overwrite!)</t>
  </si>
  <si>
    <t>Do not make any changed right of this column</t>
  </si>
  <si>
    <t>GAAP/IFRS Data (pulled from FactSet)</t>
  </si>
  <si>
    <t>GAAP/IFRS Data Pulls from FactSet</t>
  </si>
  <si>
    <t>FactSet Codes</t>
  </si>
  <si>
    <t>STANDARDIZED GAAP DATA</t>
  </si>
  <si>
    <t>Income Statement Items</t>
  </si>
  <si>
    <t>Revenue/Sales</t>
  </si>
  <si>
    <t>FF_SALES</t>
  </si>
  <si>
    <t>Cost of Goods Sold (including D&amp;A)</t>
  </si>
  <si>
    <t>FF_COGS</t>
  </si>
  <si>
    <t>Gross Income</t>
  </si>
  <si>
    <t>FF_GROSS_INC</t>
  </si>
  <si>
    <t>Operating Expenses</t>
  </si>
  <si>
    <t>FF_EBIT_OPER</t>
  </si>
  <si>
    <t>Interest Expense</t>
  </si>
  <si>
    <t>FF_INT_EXP_NET</t>
  </si>
  <si>
    <t>FF_NON_OPER_INC</t>
  </si>
  <si>
    <t>FF_UNUSUAL_EXP</t>
  </si>
  <si>
    <t>FF_PTX_INC</t>
  </si>
  <si>
    <t>Tax Expense</t>
  </si>
  <si>
    <t>FF_INC_TAX</t>
  </si>
  <si>
    <t>FF_NET_INC</t>
  </si>
  <si>
    <t>FF_COM_SHS_OUT_EPS_DIL</t>
  </si>
  <si>
    <t>FF_EPS_DIL</t>
  </si>
  <si>
    <t>Balance Sheet Items</t>
  </si>
  <si>
    <t>FF_CASH_ST</t>
  </si>
  <si>
    <t>FF_RECEIV_NET</t>
  </si>
  <si>
    <t>FF_INVEN</t>
  </si>
  <si>
    <t>FF_ASSETS_CURR</t>
  </si>
  <si>
    <t>FF_PPE_NET</t>
  </si>
  <si>
    <t>FF_INTANG</t>
  </si>
  <si>
    <t>FF_ASSETS</t>
  </si>
  <si>
    <t>FF_PAY_ACCT</t>
  </si>
  <si>
    <t>FF_LIABS_CURR</t>
  </si>
  <si>
    <t>FF_DEBT_ST</t>
  </si>
  <si>
    <t>FF_DEBT_LT</t>
  </si>
  <si>
    <t>FF_DEBT</t>
  </si>
  <si>
    <t>FF_LIABS</t>
  </si>
  <si>
    <t>FF_PFD_STK</t>
  </si>
  <si>
    <t>FF_SHLDRS_EQ</t>
  </si>
  <si>
    <t>FF_LIABS_SHLDRS_EQ</t>
  </si>
  <si>
    <t>Cash Flow Items</t>
  </si>
  <si>
    <t>FF_NET_INC_CF</t>
  </si>
  <si>
    <t>FF_DEP_EXP_XAMORT_CF</t>
  </si>
  <si>
    <t>FF_AMORT_CF</t>
  </si>
  <si>
    <t>FF_DFD_TAX_CF</t>
  </si>
  <si>
    <t>FF_NON_CASH</t>
  </si>
  <si>
    <t>FF_WKCAP_CHG</t>
  </si>
  <si>
    <t>FF_OPER_CF</t>
  </si>
  <si>
    <t>FF_CAPEX</t>
  </si>
  <si>
    <t>FF_ACQ_BUS_CF</t>
  </si>
  <si>
    <t>FF_SALE_ASSETS_BUS_CF</t>
  </si>
  <si>
    <t>FF_INVEST_PURCH_CF</t>
  </si>
  <si>
    <t>FF_INVEST_SALE_CF</t>
  </si>
  <si>
    <t>FF_INVEST_ACTIV_CF</t>
  </si>
  <si>
    <t>FF_INVEST_SOURCES_CF</t>
  </si>
  <si>
    <t>FF_INVEST_CF</t>
  </si>
  <si>
    <t>FF_DIV_COM_CF</t>
  </si>
  <si>
    <t>FF_DEBT_CF</t>
  </si>
  <si>
    <t>FF_STK_CHG_CF</t>
  </si>
  <si>
    <t>FF_FIN_ACTIV_OTH_CF</t>
  </si>
  <si>
    <t>FF_FIN_CF</t>
  </si>
  <si>
    <t>FF_FOR_EXCH_CF</t>
  </si>
  <si>
    <t>FF_CHG_CASH_CF</t>
  </si>
  <si>
    <t>FF_FREE_CF</t>
  </si>
  <si>
    <t>FF_FREE_PS_CF</t>
  </si>
  <si>
    <t>FF_FCF_YLD</t>
  </si>
  <si>
    <t>Broker Actual Data (pulled from FactSet)</t>
  </si>
  <si>
    <t>Broker Actual Data Pulls from FactSet</t>
  </si>
  <si>
    <t>BROKER ACTUAL DATA</t>
  </si>
  <si>
    <t>GROSSINCOME</t>
  </si>
  <si>
    <t>INTEXP</t>
  </si>
  <si>
    <t>-</t>
  </si>
  <si>
    <t>PTP</t>
  </si>
  <si>
    <t>NETPROFIT</t>
  </si>
  <si>
    <t>EPS</t>
  </si>
  <si>
    <t>CASH_ST</t>
  </si>
  <si>
    <t>RECEIV_NET</t>
  </si>
  <si>
    <t>CURRENTASSETS</t>
  </si>
  <si>
    <t>TOTASSET</t>
  </si>
  <si>
    <t>PAY_ACCT</t>
  </si>
  <si>
    <t>CURRENTLIABILITIES</t>
  </si>
  <si>
    <t>DEBT_ST</t>
  </si>
  <si>
    <t>DEBT_LT</t>
  </si>
  <si>
    <t>TOTALDEBT</t>
  </si>
  <si>
    <t>SHEQUITY</t>
  </si>
  <si>
    <t>DEPR_AMORT</t>
  </si>
  <si>
    <t>CFO</t>
  </si>
  <si>
    <t>CFI</t>
  </si>
  <si>
    <t>CFF</t>
  </si>
  <si>
    <t>UNM</t>
  </si>
  <si>
    <t>Premium Income</t>
  </si>
  <si>
    <t>Net Investment Income</t>
  </si>
  <si>
    <t>Other Income</t>
  </si>
  <si>
    <t>Benefits and Change in Reserves for Future Benefits</t>
  </si>
  <si>
    <t>Deferral of Acquisition Costs</t>
  </si>
  <si>
    <t>Amortization of Deferred Acquisition Costs</t>
  </si>
  <si>
    <t>Other Expenses</t>
  </si>
  <si>
    <t>Commissions &amp; Compensation Expense</t>
  </si>
  <si>
    <t>As % of Expenses</t>
  </si>
  <si>
    <t>Unum US</t>
  </si>
  <si>
    <t>Unum International</t>
  </si>
  <si>
    <t>Colonial Life</t>
  </si>
  <si>
    <t>Closed Block</t>
  </si>
  <si>
    <t>Y/Y change (%)</t>
  </si>
  <si>
    <t>Loss Ratio</t>
  </si>
  <si>
    <t>Other Segments</t>
  </si>
  <si>
    <t>Total Investments</t>
  </si>
  <si>
    <t>Cash and Bank Deposits</t>
  </si>
  <si>
    <t>Reinsurance Recoverable</t>
  </si>
  <si>
    <t>Accrued Investment Income</t>
  </si>
  <si>
    <t>Deferred Acquisition Costs</t>
  </si>
  <si>
    <t>Other Assets</t>
  </si>
  <si>
    <t>Premiums Receivable</t>
  </si>
  <si>
    <t xml:space="preserve">Goodwill </t>
  </si>
  <si>
    <t>Total Assets from breakdown above</t>
  </si>
  <si>
    <t>Difference between Breakdown and Broker Actual Total Assets</t>
  </si>
  <si>
    <t>As a percentage of total assets</t>
  </si>
  <si>
    <t>Policy and Contract Benefits</t>
  </si>
  <si>
    <t>Future Policy Benefits</t>
  </si>
  <si>
    <t>Unearned Premiums</t>
  </si>
  <si>
    <t>Other Policyholders Funds</t>
  </si>
  <si>
    <t>Income Tax Payable</t>
  </si>
  <si>
    <t>Deferred Income Tax</t>
  </si>
  <si>
    <t>Other Liabilities</t>
  </si>
  <si>
    <t>Total Liabilities from breakdown above</t>
  </si>
  <si>
    <t>Commissions &amp; Compensation Expense as a % of Premium Income</t>
  </si>
  <si>
    <t>YoY % Change</t>
  </si>
  <si>
    <t>Commissions &amp; Compensation Expense as a % of Total Revenue</t>
  </si>
  <si>
    <t>Other Expenses as a % of revenue</t>
  </si>
  <si>
    <t>Other Expenses as a % of premiums</t>
  </si>
  <si>
    <t>CASE</t>
  </si>
  <si>
    <t>PROBABILITY</t>
  </si>
  <si>
    <t>WEIGHTED EPS</t>
  </si>
  <si>
    <t>Base</t>
  </si>
  <si>
    <t>Bull</t>
  </si>
  <si>
    <t>Bear</t>
  </si>
  <si>
    <t>Multiple</t>
  </si>
  <si>
    <t>Price Target</t>
  </si>
  <si>
    <t>Total:</t>
  </si>
  <si>
    <t>BVPS</t>
  </si>
  <si>
    <t>WEIGHTED BPS</t>
  </si>
  <si>
    <t>&lt;-----1) Enter your stock ticker, 2) Refresh FactSet ribbon, 3) Enter data in yellow shaded boxes, ensuring industry metrics are formatted correctly, 4) resize column B to accommodate company name</t>
  </si>
  <si>
    <t>Company Name</t>
  </si>
  <si>
    <t>FY1</t>
  </si>
  <si>
    <t>FY2</t>
  </si>
  <si>
    <t>FY3</t>
  </si>
  <si>
    <t>Ticker</t>
  </si>
  <si>
    <t>Revenue (M) - Anl*</t>
  </si>
  <si>
    <t>ROA</t>
  </si>
  <si>
    <t>Current Price</t>
  </si>
  <si>
    <t>Revenue (M) - Cns*</t>
  </si>
  <si>
    <t>N/A</t>
  </si>
  <si>
    <t>ROE</t>
  </si>
  <si>
    <t>Target Price</t>
  </si>
  <si>
    <t>Difference (Anl/Cns)</t>
  </si>
  <si>
    <t>ROIC</t>
  </si>
  <si>
    <t>% Upsd/Dwnsd to PT</t>
  </si>
  <si>
    <t xml:space="preserve">    % Growth - Anl*</t>
  </si>
  <si>
    <t>M-Term Rev Gr Rate Est (%)</t>
  </si>
  <si>
    <t>52-Week Low</t>
  </si>
  <si>
    <t>EBIT (M) - Anl*</t>
  </si>
  <si>
    <t>M-Term EPS Gr Rate (%)</t>
  </si>
  <si>
    <t xml:space="preserve">52-Week High </t>
  </si>
  <si>
    <t>EBIT (M) - Cns*</t>
  </si>
  <si>
    <t>Insider Holdings (%)</t>
  </si>
  <si>
    <t>Current Market Cap (M)</t>
  </si>
  <si>
    <t>Short Interest (%)</t>
  </si>
  <si>
    <t>Enterprise Value (M)</t>
  </si>
  <si>
    <t>ESG Rating</t>
  </si>
  <si>
    <t>Dividend Yield (%)</t>
  </si>
  <si>
    <t>EPS - Analyst</t>
  </si>
  <si>
    <t>Industry Metrics</t>
  </si>
  <si>
    <t>Beta</t>
  </si>
  <si>
    <t>EPS - Consensus</t>
  </si>
  <si>
    <t>WACC</t>
  </si>
  <si>
    <t>Debt/Equity</t>
  </si>
  <si>
    <t>10.0x</t>
  </si>
  <si>
    <t>Combined Ratio</t>
  </si>
  <si>
    <t>1Q18</t>
  </si>
  <si>
    <t>2Q18</t>
  </si>
  <si>
    <t>3Q18</t>
  </si>
  <si>
    <t>4Q18</t>
  </si>
  <si>
    <t>1Q19</t>
  </si>
  <si>
    <t>2Q19</t>
  </si>
  <si>
    <t>3Q19</t>
  </si>
  <si>
    <t>4Q19</t>
  </si>
  <si>
    <t>1Q20</t>
  </si>
  <si>
    <t>2Q20</t>
  </si>
  <si>
    <t>3Q20</t>
  </si>
  <si>
    <t>4Q20</t>
  </si>
  <si>
    <t>1Q21</t>
  </si>
  <si>
    <t>2Q21</t>
  </si>
  <si>
    <t>3Q21</t>
  </si>
  <si>
    <t>4Q21</t>
  </si>
  <si>
    <t>1Q22</t>
  </si>
  <si>
    <t>2Q22</t>
  </si>
  <si>
    <t>3Q22</t>
  </si>
  <si>
    <t>4Q22</t>
  </si>
  <si>
    <t>1Q23</t>
  </si>
  <si>
    <t>2Q23</t>
  </si>
  <si>
    <t>3Q23E</t>
  </si>
  <si>
    <t>4Q23E</t>
  </si>
  <si>
    <t>2024E</t>
  </si>
  <si>
    <t>2025E</t>
  </si>
  <si>
    <t>Unum US DETAIL</t>
  </si>
  <si>
    <t>Total US Group Premiums</t>
  </si>
  <si>
    <t>Total US Group Benefits Paid</t>
  </si>
  <si>
    <t>Total US Group Expenses</t>
  </si>
  <si>
    <t>Total US Group Loss Ratio</t>
  </si>
  <si>
    <t/>
  </si>
  <si>
    <t>Total US Group Operating Income</t>
  </si>
  <si>
    <t xml:space="preserve">US Group Disability </t>
  </si>
  <si>
    <t>Premiums</t>
  </si>
  <si>
    <t>Benefits</t>
  </si>
  <si>
    <t>Expenses</t>
  </si>
  <si>
    <t>Expense Ratio</t>
  </si>
  <si>
    <t>As % of US Operating Income</t>
  </si>
  <si>
    <t>US Voluntary</t>
  </si>
  <si>
    <t>Q/Q change (%)</t>
  </si>
  <si>
    <t>US Group Life &amp; Accident</t>
  </si>
  <si>
    <t>Expenses (Imputed)</t>
  </si>
  <si>
    <t>Change in Insurance Reserves and Liabilities</t>
  </si>
  <si>
    <t>Net Investment (Gain) Loss</t>
  </si>
  <si>
    <t>Change in recievables</t>
  </si>
  <si>
    <t>Other funds</t>
  </si>
  <si>
    <t>#Calc</t>
  </si>
  <si>
    <t>Green = reported value; Black = calculated value; Blue = analyst assumption</t>
  </si>
  <si>
    <t>All values in thousands unless stated otherwise</t>
  </si>
  <si>
    <t>2023E</t>
  </si>
  <si>
    <t>Fiscal Period End Date</t>
  </si>
  <si>
    <t>INCOME STATEMENT</t>
  </si>
  <si>
    <t>Realized Investment Gain</t>
  </si>
  <si>
    <t>Total Revenue</t>
  </si>
  <si>
    <t>Commissions</t>
  </si>
  <si>
    <t>Compensation Expense</t>
  </si>
  <si>
    <t>Operating Income Before Interest Expense</t>
  </si>
  <si>
    <t>Interest and Debt Expense</t>
  </si>
  <si>
    <t>Operating Income After Interest Expense</t>
  </si>
  <si>
    <t>Income Tax Expense</t>
  </si>
  <si>
    <t>Non -Op Income (Expense)</t>
  </si>
  <si>
    <t>BALANCE SHEET</t>
  </si>
  <si>
    <t>Fixed Maturity Securities - at fair value</t>
  </si>
  <si>
    <t>Mortgage Loans</t>
  </si>
  <si>
    <t>Policy Loans</t>
  </si>
  <si>
    <t>Other Long-term Investments</t>
  </si>
  <si>
    <t>Short-term Investments</t>
  </si>
  <si>
    <t>Total Investment Assets</t>
  </si>
  <si>
    <t>Goodwill</t>
  </si>
  <si>
    <t>Property and Equipment</t>
  </si>
  <si>
    <t>Deferred Income Tax (Over 12 months)</t>
  </si>
  <si>
    <t>Long-term Debt</t>
  </si>
  <si>
    <t>Common Stock</t>
  </si>
  <si>
    <t>Additional Paid-in Capital</t>
  </si>
  <si>
    <t>Accumulated Other Comprehensive Loss</t>
  </si>
  <si>
    <t>Retained Earnings</t>
  </si>
  <si>
    <t>Treasury Stock</t>
  </si>
  <si>
    <t>Total Stockholders Equity</t>
  </si>
  <si>
    <t>Total Equity</t>
  </si>
  <si>
    <t>Total Liabilities and Stockholders Equity</t>
  </si>
  <si>
    <t>Change in Net Unrealized Gain on Securities Before Adjustment</t>
  </si>
  <si>
    <t>Other Comprehensive Income - Other - Net of Tax</t>
  </si>
  <si>
    <t>Change in Adjustment to Deferred Acquisition Costs and Reserves for Future Policy and Contract Benefits, Net of Reinsurance (net of tax expense (benefit) of $7433; $(3256); $(7015))</t>
  </si>
  <si>
    <t>Change in Net Gain on Hedges</t>
  </si>
  <si>
    <t>Change in Foreign Currency Translation Adjustment</t>
  </si>
  <si>
    <t>Change in Unrecognized Pension and Postretirement Benefit Costs</t>
  </si>
  <si>
    <t>Total Other Comprehensive Income (Loss)</t>
  </si>
  <si>
    <t>Comprehensive Income (Loss)</t>
  </si>
  <si>
    <t>Weighted Average Common Shares</t>
  </si>
  <si>
    <t>Weighted Average Common Shares - Assuming Dilution</t>
  </si>
  <si>
    <t>Basic Earnings Per Share</t>
  </si>
  <si>
    <t>Assuming Dilution</t>
  </si>
  <si>
    <t>Basic EPS Excluding ExtraOrdinary Items</t>
  </si>
  <si>
    <t>Diluted EPS Excluding ExtraOrd Items</t>
  </si>
  <si>
    <t>Diluted Net Income</t>
  </si>
  <si>
    <t>Diluted Net Income excluding Extra Items applicable to Common - (Company Level)</t>
  </si>
  <si>
    <t>Operating Lease Cost</t>
  </si>
  <si>
    <t>Total Depreciation of Fixed Assets</t>
  </si>
  <si>
    <t>Non-GAAP Revenues</t>
  </si>
  <si>
    <t>Non-GAAP Income from Operations</t>
  </si>
  <si>
    <t>Impairment Loss on ROU Asset</t>
  </si>
  <si>
    <t>Basic EPS - Net Inc incl Extra Items appl to Common - (Instrument Level)</t>
  </si>
  <si>
    <t>Diluted EPS - Net Inc incl Extra Items appl to Common - (Instrument Level)</t>
  </si>
  <si>
    <t>Basic Weighted Average Shares used to Calculate EPS - (Instrument Level)</t>
  </si>
  <si>
    <t>Diluted Weighted Average Shares used to Calculate EPS - (Instrument Level)</t>
  </si>
  <si>
    <t>Allocated Net Income incl Extra Items applicable to Common - (Instrument Level)</t>
  </si>
  <si>
    <t>Allocated Diluted Net Income incl Extra Items applicable to Common - (Instrument Level)</t>
  </si>
  <si>
    <t>Diluted Net Income excluding Extra Items applicable to Common - (Instrument Level)</t>
  </si>
  <si>
    <t>Net Income excluding Extra Items applicable to Common - (Instrument Level)</t>
  </si>
  <si>
    <t>Diluted EPS - Net Income excl Extra Items applicable to Common - (Instrument Level)</t>
  </si>
  <si>
    <t>Basic EPS - Net Income excl Extra Items applicable to Common - (Instrument Level)</t>
  </si>
  <si>
    <t>Diluted Earnings Allocation Factor - (Instrument Level)</t>
  </si>
  <si>
    <t>Earnings Allocation Factor - (Instrument Level)</t>
  </si>
  <si>
    <t>Assumptions</t>
  </si>
  <si>
    <t>US Group Premium Growth</t>
  </si>
  <si>
    <t>US Voluntary Premium Growth</t>
  </si>
  <si>
    <t>Investment Income/Investments</t>
  </si>
  <si>
    <t>Other Income Growth</t>
  </si>
  <si>
    <t>Net Claims to Net Premiums</t>
  </si>
  <si>
    <t>Realized Gains to Investments</t>
  </si>
  <si>
    <t>Other Reserves as Percent of Premiums</t>
  </si>
  <si>
    <t>Selling, General &amp; Admin. Expenses/Premiums</t>
  </si>
  <si>
    <t>Other Operating Expenses</t>
  </si>
  <si>
    <t>Other Expense Growth</t>
  </si>
  <si>
    <t>Interest Expense to Debt</t>
  </si>
  <si>
    <t>Unusual Expense net of Other Income</t>
  </si>
  <si>
    <t>Income Tax Rate</t>
  </si>
  <si>
    <t>Equity in Affiliates</t>
  </si>
  <si>
    <t>Equity in Affiliates as Percent of Investments in Affiliates</t>
  </si>
  <si>
    <t>Minority Interest Percent</t>
  </si>
  <si>
    <t xml:space="preserve">Additions to Reserves  </t>
  </si>
  <si>
    <t>Increase in Premiums</t>
  </si>
  <si>
    <t>Additions to Reserves/Increase in Premiums</t>
  </si>
  <si>
    <t>Additions to Reserves/Premiums</t>
  </si>
  <si>
    <t>Reserve to Premium</t>
  </si>
  <si>
    <t>Investments/Reserves</t>
  </si>
  <si>
    <t>Equity to Debt + Equity</t>
  </si>
  <si>
    <t>Equity to Assets</t>
  </si>
  <si>
    <t>Cash to Sales</t>
  </si>
  <si>
    <t>Premium A/R to Premiums</t>
  </si>
  <si>
    <t>Payout Ratio</t>
  </si>
  <si>
    <t>EPS Check</t>
  </si>
  <si>
    <t>Equity risk premium (Expected Mkt Ret  - Risk free)</t>
  </si>
  <si>
    <t>Cost of equity (CAPM)</t>
  </si>
  <si>
    <t>Cost of debt (pre-tax)</t>
  </si>
  <si>
    <t>Tax rate</t>
  </si>
  <si>
    <t>Cost of debt (post-tax)</t>
  </si>
  <si>
    <t>Equity as a percentage of total capital</t>
  </si>
  <si>
    <t>Debt as a percentage of total capital</t>
  </si>
  <si>
    <t>Terminal growth rate</t>
  </si>
  <si>
    <t>Date of analysis</t>
  </si>
  <si>
    <t xml:space="preserve">Discounted Cash Flow Analysis </t>
  </si>
  <si>
    <t>Net Income to Common shareholder</t>
  </si>
  <si>
    <t>Net non-cash charges</t>
  </si>
  <si>
    <t>Depreciation and amortization</t>
  </si>
  <si>
    <t>Interest expense * (1-tax rate)</t>
  </si>
  <si>
    <t>Investment in fixed capital</t>
  </si>
  <si>
    <t>Investment in working capital</t>
  </si>
  <si>
    <t>Total FCFF</t>
  </si>
  <si>
    <t>YoY Growth</t>
  </si>
  <si>
    <t>Partial period factor</t>
  </si>
  <si>
    <t>Discount factor</t>
  </si>
  <si>
    <t>Present value</t>
  </si>
  <si>
    <t>Sum of present value in stage 1</t>
  </si>
  <si>
    <t>Terminal value</t>
  </si>
  <si>
    <t>Present value of terminal value</t>
  </si>
  <si>
    <t>Present value of all cash flows (FCFF)</t>
  </si>
  <si>
    <t>Net debt</t>
  </si>
  <si>
    <t>Equity Value (FCFE)</t>
  </si>
  <si>
    <t>Equity value per share</t>
  </si>
  <si>
    <t>Free Cash Flow to the Equity Holders (FCFE)</t>
  </si>
  <si>
    <t>Net income</t>
  </si>
  <si>
    <t>Net borrowing</t>
  </si>
  <si>
    <t>Total FCFE</t>
  </si>
  <si>
    <t>Non Cash components of net investment income</t>
  </si>
  <si>
    <t>Payout ratio (as a % of NI)</t>
  </si>
  <si>
    <t>As a % of investment assets</t>
  </si>
  <si>
    <t>As a % of premium income</t>
  </si>
  <si>
    <t>As a % of total premiums</t>
  </si>
  <si>
    <t>Stock Based Compensation</t>
  </si>
  <si>
    <t>As a % of total assets</t>
  </si>
  <si>
    <t>As a % of premium</t>
  </si>
  <si>
    <t>As a % of investment income</t>
  </si>
  <si>
    <t>As a % of assets</t>
  </si>
  <si>
    <t>Policies In Force</t>
  </si>
  <si>
    <t>As % of US Premiums</t>
  </si>
  <si>
    <t>Premium per polcy in force</t>
  </si>
  <si>
    <t>Total Premium</t>
  </si>
  <si>
    <t>Y/Y</t>
  </si>
  <si>
    <t>1Q24</t>
  </si>
  <si>
    <t>2Q24</t>
  </si>
  <si>
    <t>3Q24E</t>
  </si>
  <si>
    <t>4Q24E</t>
  </si>
  <si>
    <t>Benefits paid per policy in force</t>
  </si>
  <si>
    <t>3Q23</t>
  </si>
  <si>
    <t>Book Value Per Share</t>
  </si>
  <si>
    <t>PUT YOUR TICKER HERE----&gt;</t>
  </si>
  <si>
    <t>HCI</t>
  </si>
  <si>
    <t>PUT YOUR FACTSET BENCHMARK TICKER HERE----&gt;</t>
  </si>
  <si>
    <t>SP50</t>
  </si>
  <si>
    <t>How My Price Target is Differentiated</t>
  </si>
  <si>
    <t>Ref. Letter</t>
  </si>
  <si>
    <t>Source</t>
  </si>
  <si>
    <t>1. Current data</t>
  </si>
  <si>
    <t>Current stock price</t>
  </si>
  <si>
    <t>A</t>
  </si>
  <si>
    <t>Market data provider</t>
  </si>
  <si>
    <t>Year 1 consensus EPS forecast</t>
  </si>
  <si>
    <t>B</t>
  </si>
  <si>
    <t>Stock's current valuation multiple based on Year 1 EPS (divide row A by row B)</t>
  </si>
  <si>
    <t>C</t>
  </si>
  <si>
    <t>Computation</t>
  </si>
  <si>
    <t>Current market multiple on Year 1 consensus (for the broad market such as S&amp;P 500)</t>
  </si>
  <si>
    <t>D</t>
  </si>
  <si>
    <t>Stock's current premium or discount to the market multiple (divide row C by row D and subtract 1)</t>
  </si>
  <si>
    <t>E</t>
  </si>
  <si>
    <t>2. Change from consensus EPS between Year 1 and Year 2</t>
  </si>
  <si>
    <t>Year 2 consensus (i.e. forecast at beginning of Year 2 for Year 2)</t>
  </si>
  <si>
    <t>F</t>
  </si>
  <si>
    <t>Difference between Year 2 and Year 1 consensus EPS forecasts (divide row F by row B)</t>
  </si>
  <si>
    <t>3. Change due to analyst's financial forecast differing from consensus</t>
  </si>
  <si>
    <t>Analyst's Year 2 EPS forecast in one year (NTM+1 yr)</t>
  </si>
  <si>
    <t>G</t>
  </si>
  <si>
    <t>Student's financial model scenarios</t>
  </si>
  <si>
    <r>
      <t xml:space="preserve">Difference between analyst's estimate in Year 2 and that of consensus (divide row G by row F </t>
    </r>
    <r>
      <rPr>
        <sz val="10"/>
        <color rgb="FFFF0000"/>
        <rFont val="Arial Narrow"/>
        <family val="2"/>
      </rPr>
      <t>and subtract 1</t>
    </r>
    <r>
      <rPr>
        <sz val="10"/>
        <color theme="1"/>
        <rFont val="Arial Narrow"/>
        <family val="2"/>
      </rPr>
      <t>)</t>
    </r>
  </si>
  <si>
    <t>H</t>
  </si>
  <si>
    <t>4. Change due to analyst's future valuation multiple differing from current multiple</t>
  </si>
  <si>
    <t>Analyst's estimate of MARKET’s multiple at beginning of Year 2</t>
  </si>
  <si>
    <t>J</t>
  </si>
  <si>
    <t>Sheet: Market PE Ratios (Stage 1)</t>
  </si>
  <si>
    <t>Analyst's estimate of stock's premium or discount to market multiple at beginning of Year 2</t>
  </si>
  <si>
    <t>K</t>
  </si>
  <si>
    <t>Sheet: Rel PEs-Range and Forecast (Stage 2)</t>
  </si>
  <si>
    <t>Valuation multiple used for price target at beginning of Year 2 (multiply row J x (1+row K))</t>
  </si>
  <si>
    <t>L</t>
  </si>
  <si>
    <t>Difference between analyst's future multiple and stock's current multiple ((row L ÷ row C) – 1)</t>
  </si>
  <si>
    <t>M</t>
  </si>
  <si>
    <t>5. Price target (multiply row G x row L)</t>
  </si>
  <si>
    <t>N</t>
  </si>
  <si>
    <t>Change from current price (divide row N by row A and subtract 1)</t>
  </si>
  <si>
    <t>NTM</t>
  </si>
  <si>
    <t>4FY</t>
  </si>
  <si>
    <t>5FY</t>
  </si>
  <si>
    <t>As a % of Total Investments</t>
  </si>
  <si>
    <t>Diluted Weighted Avg Shares</t>
  </si>
  <si>
    <t>Debt to Assets</t>
  </si>
  <si>
    <t>Free Cash Flow to Firm (FCFF)</t>
  </si>
  <si>
    <t xml:space="preserve">1FY </t>
  </si>
  <si>
    <t>Revenue / Sales Change</t>
  </si>
  <si>
    <t>Upside</t>
  </si>
  <si>
    <t>Base Case</t>
  </si>
  <si>
    <t>Downside</t>
  </si>
  <si>
    <t>Operating Margin Point Change</t>
  </si>
  <si>
    <t>EPS Change</t>
  </si>
  <si>
    <t>Student Estimates</t>
  </si>
  <si>
    <t>Consensus</t>
  </si>
  <si>
    <t xml:space="preserve">Student vs Consensus </t>
  </si>
  <si>
    <t>Ticker: UNM</t>
  </si>
  <si>
    <t>Market Data ($)</t>
  </si>
  <si>
    <t>Valuation (x)</t>
  </si>
  <si>
    <t>Profitability (%)</t>
  </si>
  <si>
    <t>Company</t>
  </si>
  <si>
    <t>Fiscal</t>
  </si>
  <si>
    <t>P/BV</t>
  </si>
  <si>
    <t>P/TBV</t>
  </si>
  <si>
    <t>PEG</t>
  </si>
  <si>
    <t>EPS 1 Yr</t>
  </si>
  <si>
    <t>Name</t>
  </si>
  <si>
    <t>Period</t>
  </si>
  <si>
    <t>Price</t>
  </si>
  <si>
    <t>Mkt Cap (M)</t>
  </si>
  <si>
    <t>P/E NTM</t>
  </si>
  <si>
    <t>Ex-AOCI</t>
  </si>
  <si>
    <t>Growth</t>
  </si>
  <si>
    <t>Unum Group</t>
  </si>
  <si>
    <t>UNM-US</t>
  </si>
  <si>
    <t>09/30/2023</t>
  </si>
  <si>
    <t>Equitable Holdings</t>
  </si>
  <si>
    <t>EQH-US</t>
  </si>
  <si>
    <t>Voya Financial</t>
  </si>
  <si>
    <t>VOYA-US</t>
  </si>
  <si>
    <t>Primerica</t>
  </si>
  <si>
    <t>PRI-US</t>
  </si>
  <si>
    <t>F&amp;G Annuities &amp; Life</t>
  </si>
  <si>
    <t>FG-US</t>
  </si>
  <si>
    <t>American Equity Investment Life Holding</t>
  </si>
  <si>
    <t>AEL-US</t>
  </si>
  <si>
    <t>Enstar Group</t>
  </si>
  <si>
    <t>ESGR-US</t>
  </si>
  <si>
    <t>Lincoln National</t>
  </si>
  <si>
    <t>LNC-US</t>
  </si>
  <si>
    <t>Average</t>
  </si>
  <si>
    <t>Sales</t>
  </si>
  <si>
    <t>Market</t>
  </si>
  <si>
    <t>(Recurring)</t>
  </si>
  <si>
    <t>1 Year</t>
  </si>
  <si>
    <t>3 Year</t>
  </si>
  <si>
    <t>5 Year</t>
  </si>
  <si>
    <t>Value</t>
  </si>
  <si>
    <t>P/E CY1 (x)</t>
  </si>
  <si>
    <t>P/E NTM (x)</t>
  </si>
  <si>
    <t>P/E CY2 (x)</t>
  </si>
  <si>
    <t>Ratio (x)</t>
  </si>
  <si>
    <t>1 Yr Growth</t>
  </si>
  <si>
    <t>3 Yr Growth</t>
  </si>
  <si>
    <t>5 Yr Growth</t>
  </si>
  <si>
    <t>Price to  Book Value per Share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</si>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</sst>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mm/yyyy"/>
    <numFmt numFmtId="166" formatCode="0.0%"/>
    <numFmt numFmtId="167" formatCode="0.0"/>
    <numFmt numFmtId="168" formatCode="&quot;$&quot;#,##0.00"/>
    <numFmt numFmtId="169" formatCode="#,##0.0"/>
    <numFmt numFmtId="170" formatCode="_(* #,##0.0_);_(* \(#,##0.0\);_(* &quot;-&quot;??_);_(@_)"/>
    <numFmt numFmtId="171" formatCode="&quot;$&quot;#,##0.000"/>
    <numFmt numFmtId="172" formatCode="0.000%"/>
    <numFmt numFmtId="173" formatCode="0.0\x"/>
    <numFmt numFmtId="174" formatCode="0.0000%"/>
    <numFmt numFmtId="175" formatCode="0.00000%"/>
    <numFmt numFmtId="176" formatCode="_(&quot;$&quot;* #,##0_);_(&quot;$&quot;* \(#,##0\);_(&quot;$&quot;* &quot;-&quot;??_);_(@_)"/>
    <numFmt numFmtId="177" formatCode="_(* #,##0_);_(* \(#,##0\);_(* &quot;-&quot;??_);_(@_)"/>
    <numFmt numFmtId="178" formatCode="#,##0.00\x"/>
    <numFmt numFmtId="179" formatCode="#,##0.0\%"/>
  </numFmts>
  <fonts count="82" x14ac:knownFonts="1">
    <font>
      <sz val="11"/>
      <color theme="1"/>
      <name val="Arial Narrow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sz val="18"/>
      <color theme="3"/>
      <name val="Arial Narrow"/>
      <family val="2"/>
      <scheme val="major"/>
    </font>
    <font>
      <b/>
      <sz val="15"/>
      <color theme="3"/>
      <name val="Arial Narrow"/>
      <family val="2"/>
    </font>
    <font>
      <sz val="11"/>
      <color rgb="FFFF0000"/>
      <name val="Arial Narrow"/>
      <family val="2"/>
    </font>
    <font>
      <sz val="11"/>
      <color theme="0"/>
      <name val="Arial Narrow"/>
      <family val="2"/>
    </font>
    <font>
      <sz val="10"/>
      <color rgb="FF0070C0"/>
      <name val="Arial Narrow"/>
      <family val="2"/>
    </font>
    <font>
      <sz val="11"/>
      <color theme="1"/>
      <name val="Arial"/>
      <family val="2"/>
    </font>
    <font>
      <sz val="11"/>
      <color rgb="FF0000FF"/>
      <name val="Arial Narrow"/>
      <family val="2"/>
    </font>
    <font>
      <sz val="11"/>
      <color theme="5" tint="-0.499984740745262"/>
      <name val="Arial Narrow"/>
      <family val="2"/>
    </font>
    <font>
      <sz val="11"/>
      <color rgb="FFC00000"/>
      <name val="Arial Narrow"/>
      <family val="2"/>
    </font>
    <font>
      <b/>
      <sz val="11"/>
      <color rgb="FFC00000"/>
      <name val="Arial Narrow"/>
      <family val="2"/>
    </font>
    <font>
      <b/>
      <sz val="10"/>
      <name val="Arial Narrow"/>
      <family val="2"/>
    </font>
    <font>
      <sz val="11"/>
      <color theme="0"/>
      <name val="Arial"/>
      <family val="2"/>
    </font>
    <font>
      <sz val="8"/>
      <color rgb="FFC00000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b/>
      <sz val="10"/>
      <color indexed="20"/>
      <name val="Arial Narrow"/>
      <family val="2"/>
    </font>
    <font>
      <i/>
      <sz val="11"/>
      <name val="Arial Narrow"/>
      <family val="2"/>
    </font>
    <font>
      <b/>
      <sz val="11"/>
      <name val="Arial Narrow"/>
      <family val="2"/>
    </font>
    <font>
      <b/>
      <sz val="10"/>
      <color rgb="FF0066CC"/>
      <name val="Arial"/>
      <family val="2"/>
    </font>
    <font>
      <sz val="11"/>
      <color rgb="FF800080"/>
      <name val="Arial Narrow"/>
      <family val="2"/>
    </font>
    <font>
      <sz val="10"/>
      <color rgb="FF0066CC"/>
      <name val="Arial"/>
      <family val="2"/>
    </font>
    <font>
      <b/>
      <sz val="10"/>
      <color theme="1"/>
      <name val="Arial"/>
      <family val="2"/>
    </font>
    <font>
      <sz val="11"/>
      <color rgb="FF00B050"/>
      <name val="Arial Narrow"/>
      <family val="2"/>
    </font>
    <font>
      <b/>
      <sz val="11"/>
      <color rgb="FF00B050"/>
      <name val="Arial Narrow"/>
      <family val="2"/>
    </font>
    <font>
      <sz val="11"/>
      <color theme="5"/>
      <name val="Arial Narrow"/>
      <family val="2"/>
    </font>
    <font>
      <b/>
      <sz val="11"/>
      <color theme="5"/>
      <name val="Arial Narrow"/>
      <family val="2"/>
    </font>
    <font>
      <b/>
      <sz val="11"/>
      <color theme="1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ED7D31"/>
      <name val="Arial Narrow"/>
      <family val="2"/>
    </font>
    <font>
      <sz val="10"/>
      <color rgb="FF0070C0"/>
      <name val="Arial Narrow"/>
      <family val="2"/>
      <scheme val="minor"/>
    </font>
    <font>
      <sz val="11"/>
      <name val="Arial Narrow"/>
      <family val="2"/>
      <scheme val="minor"/>
    </font>
    <font>
      <sz val="10"/>
      <color theme="1"/>
      <name val="Arial"/>
      <family val="2"/>
    </font>
    <font>
      <sz val="11"/>
      <color rgb="FF0000FF"/>
      <name val="Arial Narrow"/>
      <family val="2"/>
      <scheme val="major"/>
    </font>
    <font>
      <sz val="11"/>
      <name val="Arial Narrow"/>
      <family val="2"/>
      <scheme val="major"/>
    </font>
    <font>
      <sz val="11"/>
      <color rgb="FF00B050"/>
      <name val="Arial Narrow"/>
      <family val="2"/>
      <scheme val="major"/>
    </font>
    <font>
      <sz val="11"/>
      <color rgb="FFC00000"/>
      <name val="Arial Narrow"/>
      <family val="2"/>
      <scheme val="major"/>
    </font>
    <font>
      <b/>
      <sz val="11"/>
      <color rgb="FFC00000"/>
      <name val="Arial Narrow"/>
      <family val="2"/>
      <scheme val="major"/>
    </font>
    <font>
      <sz val="11"/>
      <color theme="5"/>
      <name val="Arial Narrow"/>
      <family val="2"/>
      <scheme val="major"/>
    </font>
    <font>
      <sz val="11"/>
      <color theme="0"/>
      <name val="Arial Narrow"/>
      <family val="2"/>
      <scheme val="major"/>
    </font>
    <font>
      <sz val="11"/>
      <color rgb="FF0070C0"/>
      <name val="Arial Narrow"/>
      <family val="2"/>
      <scheme val="major"/>
    </font>
    <font>
      <i/>
      <sz val="11"/>
      <name val="Arial Narrow"/>
      <family val="2"/>
      <scheme val="major"/>
    </font>
    <font>
      <b/>
      <sz val="11"/>
      <name val="Arial Narrow"/>
      <family val="2"/>
      <scheme val="major"/>
    </font>
    <font>
      <sz val="11"/>
      <color theme="5" tint="-0.499984740745262"/>
      <name val="Arial Narrow"/>
      <family val="2"/>
      <scheme val="major"/>
    </font>
    <font>
      <sz val="11"/>
      <color rgb="FF800080"/>
      <name val="Arial Narrow"/>
      <family val="2"/>
      <scheme val="major"/>
    </font>
    <font>
      <b/>
      <sz val="11"/>
      <color theme="1"/>
      <name val="Arial Narrow"/>
      <family val="2"/>
      <scheme val="major"/>
    </font>
    <font>
      <sz val="11"/>
      <color theme="1"/>
      <name val="Arial Narrow"/>
      <family val="2"/>
      <scheme val="major"/>
    </font>
    <font>
      <sz val="11"/>
      <color rgb="FFFF0000"/>
      <name val="Arial Narrow"/>
      <family val="2"/>
      <scheme val="major"/>
    </font>
    <font>
      <sz val="11"/>
      <color rgb="FFED7D31"/>
      <name val="Arial Narrow"/>
      <family val="2"/>
      <scheme val="major"/>
    </font>
    <font>
      <b/>
      <sz val="11"/>
      <color theme="5" tint="-0.499984740745262"/>
      <name val="Arial Narrow"/>
      <family val="2"/>
      <scheme val="major"/>
    </font>
    <font>
      <b/>
      <sz val="11"/>
      <color rgb="FF800080"/>
      <name val="Arial Narrow"/>
      <family val="2"/>
      <scheme val="major"/>
    </font>
    <font>
      <i/>
      <sz val="11"/>
      <color theme="5" tint="-0.499984740745262"/>
      <name val="Arial Narrow"/>
      <family val="2"/>
      <scheme val="major"/>
    </font>
    <font>
      <b/>
      <sz val="11"/>
      <color rgb="FFFF0000"/>
      <name val="Arial Narrow"/>
      <family val="2"/>
      <scheme val="major"/>
    </font>
    <font>
      <i/>
      <sz val="11"/>
      <color rgb="FF800080"/>
      <name val="Arial Narrow"/>
      <family val="2"/>
      <scheme val="major"/>
    </font>
    <font>
      <i/>
      <sz val="11"/>
      <color rgb="FFFF0000"/>
      <name val="Arial Narrow"/>
      <family val="2"/>
      <scheme val="major"/>
    </font>
    <font>
      <b/>
      <sz val="11"/>
      <color rgb="FF00B050"/>
      <name val="Arial Narrow"/>
      <family val="2"/>
      <scheme val="major"/>
    </font>
    <font>
      <i/>
      <sz val="11"/>
      <color theme="1"/>
      <name val="Arial Narrow"/>
      <family val="2"/>
      <scheme val="major"/>
    </font>
    <font>
      <b/>
      <i/>
      <sz val="11"/>
      <color theme="5" tint="-0.499984740745262"/>
      <name val="Arial Narrow"/>
      <family val="2"/>
      <scheme val="major"/>
    </font>
    <font>
      <b/>
      <i/>
      <sz val="11"/>
      <name val="Arial Narrow"/>
      <family val="2"/>
      <scheme val="major"/>
    </font>
    <font>
      <sz val="11"/>
      <color rgb="FF000000"/>
      <name val="Arial Narrow"/>
      <family val="2"/>
      <scheme val="major"/>
    </font>
    <font>
      <sz val="8"/>
      <color rgb="FF232629"/>
      <name val="Arial"/>
      <family val="2"/>
    </font>
    <font>
      <b/>
      <sz val="11"/>
      <color rgb="FF0070C0"/>
      <name val="Arial Narrow"/>
      <family val="2"/>
    </font>
    <font>
      <i/>
      <sz val="10"/>
      <name val="Arial Narrow"/>
      <family val="2"/>
    </font>
    <font>
      <sz val="11"/>
      <color theme="8"/>
      <name val="Arial Narrow"/>
      <family val="2"/>
    </font>
    <font>
      <sz val="11"/>
      <color rgb="FF0070C0"/>
      <name val="Arial Narrow"/>
      <family val="2"/>
      <scheme val="major"/>
    </font>
    <font>
      <sz val="11"/>
      <color theme="4"/>
      <name val="Arial Narrow"/>
      <family val="2"/>
      <scheme val="major"/>
    </font>
    <font>
      <sz val="11"/>
      <color rgb="FFFFFFFF"/>
      <name val="Arial Narrow"/>
      <family val="2"/>
      <scheme val="major"/>
    </font>
    <font>
      <b/>
      <sz val="11"/>
      <color rgb="FF000000"/>
      <name val="Arial Narrow"/>
      <family val="2"/>
      <scheme val="major"/>
    </font>
    <font>
      <b/>
      <sz val="11"/>
      <color theme="4"/>
      <name val="Arial Narrow"/>
      <family val="2"/>
      <scheme val="major"/>
    </font>
    <font>
      <sz val="11"/>
      <name val="Calibri"/>
      <family val="2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sz val="11"/>
      <color rgb="FF0070C0"/>
      <name val="Arial Narrow"/>
      <family val="2"/>
    </font>
    <font>
      <sz val="10"/>
      <color rgb="FFFF0000"/>
      <name val="Arial Narrow"/>
      <family val="2"/>
    </font>
    <font>
      <sz val="10"/>
      <color rgb="FF000000"/>
      <name val="Calibri"/>
      <family val="2"/>
    </font>
    <font>
      <u/>
      <sz val="11"/>
      <color theme="1"/>
      <name val="Arial Narrow"/>
      <family val="2"/>
    </font>
    <font>
      <sz val="10"/>
      <color rgb="FFFF0000"/>
      <name val="Arial"/>
      <family val="2"/>
    </font>
    <font>
      <sz val="1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EFF6F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FFC8C8C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D5D8DB"/>
      </left>
      <right style="thin">
        <color indexed="64"/>
      </right>
      <top style="thin">
        <color rgb="FFD5D8DB"/>
      </top>
      <bottom style="thin">
        <color rgb="FFD5D8DB"/>
      </bottom>
      <diagonal/>
    </border>
    <border>
      <left style="thin">
        <color indexed="64"/>
      </left>
      <right style="thin">
        <color rgb="FFD5D8DB"/>
      </right>
      <top style="thin">
        <color rgb="FFD5D8DB"/>
      </top>
      <bottom style="thin">
        <color rgb="FFD5D8DB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  <border>
      <left/>
      <right style="thin">
        <color rgb="FFD5D8DB"/>
      </right>
      <top style="thin">
        <color rgb="FFD5D8DB"/>
      </top>
      <bottom style="thin">
        <color rgb="FFD5D8DB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D5D8DB"/>
      </left>
      <right/>
      <top style="thin">
        <color rgb="FFD5D8DB"/>
      </top>
      <bottom style="thin">
        <color rgb="FFD5D8DB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D5D8DB"/>
      </right>
      <top style="thin">
        <color rgb="FFD5D8DB"/>
      </top>
      <bottom/>
      <diagonal/>
    </border>
    <border>
      <left style="thin">
        <color rgb="FFD5D8DB"/>
      </left>
      <right style="thin">
        <color rgb="FFD5D8DB"/>
      </right>
      <top style="thin">
        <color rgb="FFD5D8DB"/>
      </top>
      <bottom/>
      <diagonal/>
    </border>
    <border>
      <left style="thin">
        <color rgb="FFD5D8DB"/>
      </left>
      <right style="thin">
        <color indexed="64"/>
      </right>
      <top style="thin">
        <color rgb="FFD5D8DB"/>
      </top>
      <bottom/>
      <diagonal/>
    </border>
    <border>
      <left/>
      <right style="thin">
        <color rgb="FFD5D8DB"/>
      </right>
      <top style="thin">
        <color rgb="FFD5D8DB"/>
      </top>
      <bottom/>
      <diagonal/>
    </border>
    <border>
      <left style="thin">
        <color indexed="64"/>
      </left>
      <right style="thin">
        <color rgb="FFD5D8DB"/>
      </right>
      <top/>
      <bottom style="thin">
        <color rgb="FFD5D8DB"/>
      </bottom>
      <diagonal/>
    </border>
    <border>
      <left style="thin">
        <color rgb="FFD5D8DB"/>
      </left>
      <right style="thin">
        <color rgb="FFD5D8DB"/>
      </right>
      <top/>
      <bottom style="thin">
        <color rgb="FFD5D8DB"/>
      </bottom>
      <diagonal/>
    </border>
    <border>
      <left style="thin">
        <color rgb="FFD5D8DB"/>
      </left>
      <right style="thin">
        <color indexed="64"/>
      </right>
      <top/>
      <bottom style="thin">
        <color rgb="FFD5D8DB"/>
      </bottom>
      <diagonal/>
    </border>
    <border>
      <left/>
      <right style="thin">
        <color rgb="FFD5D8DB"/>
      </right>
      <top/>
      <bottom style="thin">
        <color rgb="FFD5D8DB"/>
      </bottom>
      <diagonal/>
    </border>
    <border>
      <left style="thin">
        <color rgb="FFD5D8DB"/>
      </left>
      <right/>
      <top style="thin">
        <color rgb="FFD5D8DB"/>
      </top>
      <bottom/>
      <diagonal/>
    </border>
    <border>
      <left style="thin">
        <color rgb="FFD5D8DB"/>
      </left>
      <right/>
      <top/>
      <bottom style="thin">
        <color rgb="FFD5D8DB"/>
      </bottom>
      <diagonal/>
    </border>
    <border>
      <left style="thin">
        <color rgb="FFD5D8DB"/>
      </left>
      <right style="thin">
        <color rgb="FFD5D8DB"/>
      </right>
      <top style="thin">
        <color indexed="64"/>
      </top>
      <bottom style="medium">
        <color indexed="64"/>
      </bottom>
      <diagonal/>
    </border>
    <border>
      <left style="thin">
        <color rgb="FFD5D8DB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D5D8DB"/>
      </right>
      <top style="thin">
        <color indexed="64"/>
      </top>
      <bottom style="medium">
        <color indexed="64"/>
      </bottom>
      <diagonal/>
    </border>
    <border>
      <left style="thin">
        <color rgb="FFD5D8DB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D5D8DB"/>
      </top>
      <bottom style="thin">
        <color rgb="FFD5D8DB"/>
      </bottom>
      <diagonal/>
    </border>
    <border>
      <left/>
      <right style="thin">
        <color indexed="64"/>
      </right>
      <top style="thin">
        <color rgb="FFD5D8DB"/>
      </top>
      <bottom style="thin">
        <color rgb="FFD5D8DB"/>
      </bottom>
      <diagonal/>
    </border>
    <border>
      <left style="thin">
        <color rgb="FFD5D8DB"/>
      </left>
      <right style="thin">
        <color rgb="FFD5D8DB"/>
      </right>
      <top style="medium">
        <color indexed="64"/>
      </top>
      <bottom/>
      <diagonal/>
    </border>
    <border>
      <left style="thin">
        <color rgb="FFD5D8DB"/>
      </left>
      <right/>
      <top style="medium">
        <color indexed="64"/>
      </top>
      <bottom/>
      <diagonal/>
    </border>
    <border>
      <left style="thin">
        <color indexed="64"/>
      </left>
      <right style="thin">
        <color rgb="FFD5D8DB"/>
      </right>
      <top style="medium">
        <color indexed="64"/>
      </top>
      <bottom/>
      <diagonal/>
    </border>
    <border>
      <left style="thin">
        <color rgb="FFD5D8DB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D5D8DB"/>
      </right>
      <top style="medium">
        <color indexed="64"/>
      </top>
      <bottom/>
      <diagonal/>
    </border>
    <border>
      <left style="thin">
        <color indexed="64"/>
      </left>
      <right style="thin">
        <color rgb="FFD5D8DB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D5D8DB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8" fillId="2" borderId="0" applyNumberFormat="0" applyFont="0" applyBorder="0" applyAlignment="0" applyProtection="0"/>
    <xf numFmtId="0" fontId="14" fillId="4" borderId="2">
      <alignment horizontal="right" vertical="center" indent="1"/>
    </xf>
    <xf numFmtId="0" fontId="22" fillId="5" borderId="0" applyNumberFormat="0" applyFill="0" applyBorder="0" applyAlignment="0" applyProtection="0">
      <alignment horizontal="right"/>
    </xf>
    <xf numFmtId="0" fontId="24" fillId="5" borderId="0" applyNumberFormat="0" applyFill="0" applyBorder="0" applyAlignment="0" applyProtection="0">
      <alignment horizontal="right"/>
    </xf>
    <xf numFmtId="0" fontId="36" fillId="0" borderId="0"/>
    <xf numFmtId="44" fontId="2" fillId="0" borderId="0" applyFont="0" applyFill="0" applyBorder="0" applyAlignment="0" applyProtection="0"/>
  </cellStyleXfs>
  <cellXfs count="751">
    <xf numFmtId="0" fontId="0" fillId="0" borderId="0" xfId="0"/>
    <xf numFmtId="49" fontId="7" fillId="0" borderId="0" xfId="0" applyNumberFormat="1" applyFont="1" applyAlignment="1">
      <alignment horizontal="left" vertical="top"/>
    </xf>
    <xf numFmtId="0" fontId="1" fillId="0" borderId="0" xfId="5" applyFont="1" applyFill="1" applyBorder="1"/>
    <xf numFmtId="0" fontId="9" fillId="0" borderId="0" xfId="5" applyFont="1" applyFill="1" applyBorder="1" applyAlignment="1">
      <alignment horizontal="center" vertical="center"/>
    </xf>
    <xf numFmtId="0" fontId="1" fillId="0" borderId="0" xfId="5" applyFont="1" applyFill="1" applyBorder="1" applyAlignment="1">
      <alignment horizontal="center" vertical="center"/>
    </xf>
    <xf numFmtId="0" fontId="1" fillId="0" borderId="0" xfId="5" applyFont="1" applyFill="1" applyBorder="1" applyAlignment="1">
      <alignment horizontal="right"/>
    </xf>
    <xf numFmtId="0" fontId="2" fillId="0" borderId="0" xfId="5" applyFont="1" applyFill="1" applyBorder="1"/>
    <xf numFmtId="0" fontId="11" fillId="3" borderId="0" xfId="5" applyFont="1" applyFill="1" applyBorder="1" applyAlignment="1">
      <alignment horizontal="right" wrapText="1"/>
    </xf>
    <xf numFmtId="0" fontId="1" fillId="0" borderId="0" xfId="5" applyFont="1" applyFill="1" applyBorder="1" applyAlignment="1">
      <alignment horizontal="left"/>
    </xf>
    <xf numFmtId="0" fontId="12" fillId="0" borderId="0" xfId="5" applyFont="1" applyFill="1" applyBorder="1" applyAlignment="1">
      <alignment horizontal="right"/>
    </xf>
    <xf numFmtId="0" fontId="13" fillId="0" borderId="0" xfId="0" applyFont="1" applyAlignment="1">
      <alignment horizontal="left" vertical="center"/>
    </xf>
    <xf numFmtId="0" fontId="6" fillId="0" borderId="0" xfId="6" applyFont="1" applyFill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3" borderId="0" xfId="6" applyFont="1" applyFill="1" applyBorder="1" applyAlignment="1">
      <alignment horizontal="right" vertical="center" wrapText="1"/>
    </xf>
    <xf numFmtId="0" fontId="15" fillId="0" borderId="0" xfId="5" applyFont="1" applyFill="1" applyBorder="1" applyAlignment="1">
      <alignment horizontal="center" vertical="center"/>
    </xf>
    <xf numFmtId="0" fontId="16" fillId="0" borderId="0" xfId="0" applyFont="1" applyAlignment="1">
      <alignment vertical="top"/>
    </xf>
    <xf numFmtId="0" fontId="17" fillId="0" borderId="0" xfId="5" applyFont="1" applyFill="1" applyBorder="1"/>
    <xf numFmtId="0" fontId="18" fillId="0" borderId="0" xfId="5" applyFont="1" applyFill="1" applyBorder="1" applyAlignment="1">
      <alignment horizontal="left"/>
    </xf>
    <xf numFmtId="0" fontId="17" fillId="0" borderId="0" xfId="5" applyFont="1" applyFill="1" applyBorder="1" applyAlignment="1">
      <alignment horizontal="right"/>
    </xf>
    <xf numFmtId="0" fontId="1" fillId="3" borderId="0" xfId="5" applyFont="1" applyFill="1" applyBorder="1" applyAlignment="1">
      <alignment horizontal="right" wrapText="1"/>
    </xf>
    <xf numFmtId="0" fontId="15" fillId="0" borderId="0" xfId="5" applyFont="1" applyFill="1" applyBorder="1" applyAlignment="1">
      <alignment horizontal="center"/>
    </xf>
    <xf numFmtId="0" fontId="13" fillId="0" borderId="0" xfId="3" applyFont="1" applyFill="1" applyBorder="1" applyAlignment="1">
      <alignment horizontal="left" vertical="center"/>
    </xf>
    <xf numFmtId="0" fontId="19" fillId="0" borderId="0" xfId="5" applyFont="1" applyFill="1" applyBorder="1"/>
    <xf numFmtId="0" fontId="20" fillId="0" borderId="0" xfId="5" applyFont="1" applyFill="1" applyBorder="1" applyAlignment="1">
      <alignment vertical="center"/>
    </xf>
    <xf numFmtId="0" fontId="21" fillId="0" borderId="0" xfId="5" applyFont="1" applyFill="1" applyBorder="1" applyAlignment="1">
      <alignment horizontal="centerContinuous" vertical="center"/>
    </xf>
    <xf numFmtId="0" fontId="21" fillId="3" borderId="0" xfId="5" applyFont="1" applyFill="1" applyBorder="1" applyAlignment="1">
      <alignment horizontal="centerContinuous" vertical="center" wrapText="1"/>
    </xf>
    <xf numFmtId="0" fontId="1" fillId="0" borderId="0" xfId="5" applyFont="1" applyFill="1" applyBorder="1" applyAlignment="1">
      <alignment vertical="center"/>
    </xf>
    <xf numFmtId="0" fontId="20" fillId="0" borderId="0" xfId="5" applyFont="1" applyFill="1" applyBorder="1"/>
    <xf numFmtId="0" fontId="21" fillId="0" borderId="0" xfId="5" quotePrefix="1" applyFont="1" applyFill="1" applyBorder="1" applyAlignment="1">
      <alignment horizontal="left"/>
    </xf>
    <xf numFmtId="0" fontId="21" fillId="0" borderId="0" xfId="5" quotePrefix="1" applyFont="1" applyFill="1" applyBorder="1" applyAlignment="1">
      <alignment horizontal="right"/>
    </xf>
    <xf numFmtId="0" fontId="21" fillId="3" borderId="0" xfId="5" quotePrefix="1" applyFont="1" applyFill="1" applyBorder="1" applyAlignment="1">
      <alignment horizontal="right" wrapText="1"/>
    </xf>
    <xf numFmtId="164" fontId="10" fillId="0" borderId="0" xfId="7" applyNumberFormat="1" applyFont="1" applyFill="1" applyBorder="1" applyAlignment="1">
      <alignment horizontal="right"/>
    </xf>
    <xf numFmtId="165" fontId="23" fillId="3" borderId="0" xfId="7" applyNumberFormat="1" applyFont="1" applyFill="1" applyBorder="1" applyAlignment="1">
      <alignment horizontal="right" wrapText="1"/>
    </xf>
    <xf numFmtId="0" fontId="21" fillId="0" borderId="0" xfId="4" applyFont="1" applyFill="1" applyBorder="1" applyAlignment="1">
      <alignment vertical="center"/>
    </xf>
    <xf numFmtId="0" fontId="1" fillId="0" borderId="0" xfId="5" applyNumberFormat="1" applyFont="1" applyFill="1" applyBorder="1"/>
    <xf numFmtId="164" fontId="10" fillId="0" borderId="0" xfId="8" applyNumberFormat="1" applyFont="1" applyFill="1" applyBorder="1" applyAlignment="1">
      <alignment horizontal="right"/>
    </xf>
    <xf numFmtId="3" fontId="5" fillId="0" borderId="0" xfId="8" applyNumberFormat="1" applyFont="1" applyFill="1" applyBorder="1" applyAlignment="1">
      <alignment horizontal="right"/>
    </xf>
    <xf numFmtId="0" fontId="1" fillId="0" borderId="0" xfId="5" applyFont="1" applyFill="1" applyBorder="1" applyAlignment="1">
      <alignment horizontal="left" indent="1"/>
    </xf>
    <xf numFmtId="0" fontId="1" fillId="5" borderId="0" xfId="5" applyFont="1" applyFill="1" applyBorder="1"/>
    <xf numFmtId="0" fontId="21" fillId="0" borderId="0" xfId="5" applyFont="1" applyFill="1" applyBorder="1"/>
    <xf numFmtId="4" fontId="1" fillId="0" borderId="0" xfId="5" applyNumberFormat="1" applyFont="1" applyFill="1" applyBorder="1"/>
    <xf numFmtId="4" fontId="21" fillId="0" borderId="0" xfId="5" applyNumberFormat="1" applyFont="1" applyFill="1" applyBorder="1" applyAlignment="1">
      <alignment horizontal="left"/>
    </xf>
    <xf numFmtId="49" fontId="1" fillId="0" borderId="0" xfId="5" applyNumberFormat="1" applyFont="1" applyFill="1" applyBorder="1"/>
    <xf numFmtId="49" fontId="21" fillId="0" borderId="0" xfId="5" applyNumberFormat="1" applyFont="1" applyFill="1" applyBorder="1"/>
    <xf numFmtId="0" fontId="25" fillId="0" borderId="0" xfId="0" applyFont="1" applyAlignment="1">
      <alignment horizontal="center"/>
    </xf>
    <xf numFmtId="164" fontId="26" fillId="0" borderId="0" xfId="7" applyNumberFormat="1" applyFont="1" applyFill="1" applyBorder="1" applyAlignment="1">
      <alignment horizontal="right"/>
    </xf>
    <xf numFmtId="164" fontId="26" fillId="0" borderId="0" xfId="8" applyNumberFormat="1" applyFont="1" applyFill="1" applyBorder="1" applyAlignment="1">
      <alignment horizontal="right"/>
    </xf>
    <xf numFmtId="164" fontId="27" fillId="0" borderId="0" xfId="8" applyNumberFormat="1" applyFont="1" applyFill="1" applyBorder="1" applyAlignment="1">
      <alignment horizontal="right"/>
    </xf>
    <xf numFmtId="169" fontId="26" fillId="0" borderId="0" xfId="8" applyNumberFormat="1" applyFont="1" applyFill="1" applyBorder="1" applyAlignment="1">
      <alignment horizontal="right"/>
    </xf>
    <xf numFmtId="168" fontId="27" fillId="0" borderId="0" xfId="8" applyNumberFormat="1" applyFont="1" applyFill="1" applyBorder="1" applyAlignment="1">
      <alignment horizontal="right"/>
    </xf>
    <xf numFmtId="0" fontId="7" fillId="0" borderId="0" xfId="0" applyFont="1" applyAlignment="1">
      <alignment horizontal="left" vertical="center"/>
    </xf>
    <xf numFmtId="168" fontId="26" fillId="0" borderId="0" xfId="8" applyNumberFormat="1" applyFont="1" applyFill="1" applyBorder="1" applyAlignment="1">
      <alignment horizontal="right"/>
    </xf>
    <xf numFmtId="164" fontId="28" fillId="0" borderId="0" xfId="8" applyNumberFormat="1" applyFont="1" applyFill="1" applyBorder="1" applyAlignment="1">
      <alignment horizontal="right"/>
    </xf>
    <xf numFmtId="0" fontId="28" fillId="0" borderId="0" xfId="0" applyFont="1"/>
    <xf numFmtId="0" fontId="29" fillId="0" borderId="0" xfId="0" applyFont="1"/>
    <xf numFmtId="0" fontId="27" fillId="0" borderId="0" xfId="0" applyFont="1"/>
    <xf numFmtId="164" fontId="29" fillId="0" borderId="0" xfId="8" applyNumberFormat="1" applyFont="1" applyFill="1" applyBorder="1" applyAlignment="1">
      <alignment horizontal="right"/>
    </xf>
    <xf numFmtId="168" fontId="29" fillId="0" borderId="0" xfId="8" applyNumberFormat="1" applyFont="1" applyFill="1" applyBorder="1" applyAlignment="1">
      <alignment horizontal="right"/>
    </xf>
    <xf numFmtId="0" fontId="30" fillId="0" borderId="0" xfId="0" applyFont="1" applyAlignment="1">
      <alignment vertical="center"/>
    </xf>
    <xf numFmtId="0" fontId="0" fillId="6" borderId="0" xfId="0" applyFill="1"/>
    <xf numFmtId="164" fontId="33" fillId="0" borderId="0" xfId="7" applyNumberFormat="1" applyFont="1" applyFill="1" applyBorder="1" applyAlignment="1">
      <alignment horizontal="right"/>
    </xf>
    <xf numFmtId="0" fontId="6" fillId="0" borderId="0" xfId="6" applyFont="1" applyFill="1" applyBorder="1" applyAlignment="1">
      <alignment vertical="center"/>
    </xf>
    <xf numFmtId="0" fontId="26" fillId="0" borderId="0" xfId="5" applyFont="1" applyFill="1" applyBorder="1" applyAlignment="1">
      <alignment horizontal="right" vertical="center"/>
    </xf>
    <xf numFmtId="0" fontId="26" fillId="0" borderId="0" xfId="5" applyFont="1" applyFill="1" applyBorder="1" applyAlignment="1">
      <alignment vertical="center"/>
    </xf>
    <xf numFmtId="0" fontId="26" fillId="0" borderId="0" xfId="6" applyFont="1" applyFill="1" applyBorder="1" applyAlignment="1">
      <alignment vertical="center"/>
    </xf>
    <xf numFmtId="0" fontId="33" fillId="0" borderId="0" xfId="5" applyFont="1" applyFill="1" applyBorder="1" applyAlignment="1">
      <alignment vertical="center"/>
    </xf>
    <xf numFmtId="0" fontId="6" fillId="0" borderId="0" xfId="0" applyFont="1" applyAlignment="1">
      <alignment vertical="center"/>
    </xf>
    <xf numFmtId="49" fontId="34" fillId="0" borderId="0" xfId="0" applyNumberFormat="1" applyFont="1" applyAlignment="1">
      <alignment horizontal="center" vertical="center"/>
    </xf>
    <xf numFmtId="49" fontId="35" fillId="0" borderId="0" xfId="5" applyNumberFormat="1" applyFont="1" applyFill="1" applyBorder="1"/>
    <xf numFmtId="49" fontId="1" fillId="0" borderId="0" xfId="5" applyNumberFormat="1" applyFont="1" applyFill="1" applyBorder="1" applyAlignment="1">
      <alignment horizontal="left" indent="1"/>
    </xf>
    <xf numFmtId="0" fontId="37" fillId="0" borderId="0" xfId="5" applyFont="1" applyFill="1" applyBorder="1" applyAlignment="1">
      <alignment horizontal="center" vertical="center"/>
    </xf>
    <xf numFmtId="0" fontId="38" fillId="0" borderId="0" xfId="5" applyFont="1" applyFill="1" applyBorder="1" applyAlignment="1">
      <alignment horizontal="center" vertical="center"/>
    </xf>
    <xf numFmtId="0" fontId="39" fillId="0" borderId="0" xfId="5" applyFont="1" applyFill="1" applyBorder="1" applyAlignment="1">
      <alignment horizontal="left"/>
    </xf>
    <xf numFmtId="0" fontId="38" fillId="0" borderId="0" xfId="5" applyFont="1" applyFill="1" applyBorder="1" applyAlignment="1">
      <alignment horizontal="right"/>
    </xf>
    <xf numFmtId="0" fontId="40" fillId="3" borderId="0" xfId="5" applyFont="1" applyFill="1" applyBorder="1" applyAlignment="1">
      <alignment horizontal="right" wrapText="1"/>
    </xf>
    <xf numFmtId="0" fontId="38" fillId="0" borderId="0" xfId="5" applyFont="1" applyFill="1" applyBorder="1" applyAlignment="1">
      <alignment horizontal="left"/>
    </xf>
    <xf numFmtId="0" fontId="38" fillId="0" borderId="0" xfId="5" applyFont="1" applyFill="1" applyBorder="1"/>
    <xf numFmtId="0" fontId="41" fillId="0" borderId="0" xfId="5" applyFont="1" applyFill="1" applyBorder="1" applyAlignment="1">
      <alignment horizontal="right"/>
    </xf>
    <xf numFmtId="164" fontId="42" fillId="0" borderId="0" xfId="8" applyNumberFormat="1" applyFont="1" applyFill="1" applyBorder="1" applyAlignment="1">
      <alignment horizontal="left"/>
    </xf>
    <xf numFmtId="0" fontId="42" fillId="0" borderId="0" xfId="5" applyFont="1" applyFill="1" applyBorder="1" applyAlignment="1">
      <alignment horizontal="left"/>
    </xf>
    <xf numFmtId="0" fontId="43" fillId="0" borderId="0" xfId="6" applyFont="1" applyFill="1" applyBorder="1" applyAlignment="1">
      <alignment horizontal="right" vertical="center"/>
    </xf>
    <xf numFmtId="0" fontId="43" fillId="0" borderId="0" xfId="0" applyFont="1" applyAlignment="1">
      <alignment horizontal="right" vertical="center"/>
    </xf>
    <xf numFmtId="0" fontId="43" fillId="3" borderId="0" xfId="6" applyFont="1" applyFill="1" applyBorder="1" applyAlignment="1">
      <alignment horizontal="right" vertical="center" wrapText="1"/>
    </xf>
    <xf numFmtId="0" fontId="43" fillId="0" borderId="0" xfId="6" applyFont="1" applyFill="1" applyBorder="1" applyAlignment="1">
      <alignment horizontal="left" vertical="center"/>
    </xf>
    <xf numFmtId="0" fontId="44" fillId="0" borderId="0" xfId="5" applyFont="1" applyFill="1" applyBorder="1" applyAlignment="1">
      <alignment horizontal="left" vertical="center"/>
    </xf>
    <xf numFmtId="0" fontId="38" fillId="3" borderId="0" xfId="5" applyFont="1" applyFill="1" applyBorder="1" applyAlignment="1">
      <alignment horizontal="right" wrapText="1"/>
    </xf>
    <xf numFmtId="0" fontId="45" fillId="0" borderId="0" xfId="5" applyFont="1" applyFill="1" applyBorder="1" applyAlignment="1">
      <alignment vertical="center"/>
    </xf>
    <xf numFmtId="0" fontId="46" fillId="0" borderId="0" xfId="5" applyFont="1" applyFill="1" applyBorder="1" applyAlignment="1">
      <alignment horizontal="centerContinuous" vertical="center"/>
    </xf>
    <xf numFmtId="0" fontId="46" fillId="3" borderId="0" xfId="5" applyFont="1" applyFill="1" applyBorder="1" applyAlignment="1">
      <alignment horizontal="centerContinuous" vertical="center" wrapText="1"/>
    </xf>
    <xf numFmtId="0" fontId="46" fillId="0" borderId="0" xfId="5" applyFont="1" applyFill="1" applyBorder="1" applyAlignment="1">
      <alignment horizontal="left" vertical="center"/>
    </xf>
    <xf numFmtId="0" fontId="38" fillId="0" borderId="0" xfId="5" applyFont="1" applyFill="1" applyBorder="1" applyAlignment="1">
      <alignment vertical="center"/>
    </xf>
    <xf numFmtId="0" fontId="38" fillId="0" borderId="0" xfId="5" applyFont="1" applyFill="1" applyBorder="1" applyAlignment="1">
      <alignment horizontal="right" vertical="center"/>
    </xf>
    <xf numFmtId="0" fontId="45" fillId="0" borderId="0" xfId="5" applyFont="1" applyFill="1" applyBorder="1"/>
    <xf numFmtId="0" fontId="46" fillId="0" borderId="0" xfId="5" quotePrefix="1" applyFont="1" applyFill="1" applyBorder="1" applyAlignment="1">
      <alignment horizontal="right"/>
    </xf>
    <xf numFmtId="0" fontId="46" fillId="3" borderId="0" xfId="5" quotePrefix="1" applyFont="1" applyFill="1" applyBorder="1" applyAlignment="1">
      <alignment horizontal="right" wrapText="1"/>
    </xf>
    <xf numFmtId="0" fontId="46" fillId="0" borderId="0" xfId="5" quotePrefix="1" applyFont="1" applyFill="1" applyBorder="1" applyAlignment="1">
      <alignment horizontal="left"/>
    </xf>
    <xf numFmtId="0" fontId="46" fillId="0" borderId="0" xfId="5" applyFont="1" applyFill="1" applyBorder="1" applyAlignment="1">
      <alignment horizontal="right"/>
    </xf>
    <xf numFmtId="164" fontId="39" fillId="0" borderId="0" xfId="7" applyNumberFormat="1" applyFont="1" applyFill="1" applyBorder="1" applyAlignment="1">
      <alignment horizontal="right"/>
    </xf>
    <xf numFmtId="165" fontId="38" fillId="0" borderId="0" xfId="7" applyNumberFormat="1" applyFont="1" applyFill="1" applyBorder="1" applyAlignment="1">
      <alignment horizontal="right"/>
    </xf>
    <xf numFmtId="164" fontId="47" fillId="0" borderId="0" xfId="7" applyNumberFormat="1" applyFont="1" applyFill="1" applyBorder="1" applyAlignment="1">
      <alignment horizontal="right"/>
    </xf>
    <xf numFmtId="165" fontId="48" fillId="3" borderId="0" xfId="7" applyNumberFormat="1" applyFont="1" applyFill="1" applyBorder="1" applyAlignment="1">
      <alignment horizontal="right" wrapText="1"/>
    </xf>
    <xf numFmtId="165" fontId="48" fillId="0" borderId="0" xfId="7" applyNumberFormat="1" applyFont="1" applyFill="1" applyBorder="1" applyAlignment="1">
      <alignment horizontal="left"/>
    </xf>
    <xf numFmtId="165" fontId="48" fillId="0" borderId="0" xfId="7" applyNumberFormat="1" applyFont="1" applyFill="1" applyBorder="1" applyAlignment="1">
      <alignment horizontal="right"/>
    </xf>
    <xf numFmtId="165" fontId="47" fillId="0" borderId="0" xfId="7" applyNumberFormat="1" applyFont="1" applyFill="1" applyBorder="1" applyAlignment="1">
      <alignment horizontal="right"/>
    </xf>
    <xf numFmtId="0" fontId="47" fillId="0" borderId="0" xfId="7" applyFont="1" applyFill="1" applyBorder="1" applyAlignment="1">
      <alignment horizontal="right"/>
    </xf>
    <xf numFmtId="6" fontId="48" fillId="0" borderId="0" xfId="7" applyNumberFormat="1" applyFont="1" applyFill="1" applyBorder="1" applyAlignment="1">
      <alignment horizontal="right"/>
    </xf>
    <xf numFmtId="0" fontId="46" fillId="0" borderId="0" xfId="5" applyFont="1" applyFill="1" applyBorder="1"/>
    <xf numFmtId="37" fontId="49" fillId="0" borderId="0" xfId="1" applyNumberFormat="1" applyFont="1"/>
    <xf numFmtId="37" fontId="50" fillId="0" borderId="0" xfId="1" applyNumberFormat="1" applyFont="1" applyFill="1"/>
    <xf numFmtId="164" fontId="47" fillId="0" borderId="0" xfId="5" applyNumberFormat="1" applyFont="1" applyFill="1" applyBorder="1" applyAlignment="1">
      <alignment horizontal="right"/>
    </xf>
    <xf numFmtId="0" fontId="38" fillId="3" borderId="0" xfId="5" applyFont="1" applyFill="1" applyBorder="1" applyAlignment="1">
      <alignment horizontal="right"/>
    </xf>
    <xf numFmtId="0" fontId="40" fillId="0" borderId="0" xfId="5" applyFont="1" applyFill="1" applyBorder="1" applyAlignment="1">
      <alignment horizontal="right" indent="1"/>
    </xf>
    <xf numFmtId="0" fontId="50" fillId="0" borderId="0" xfId="0" applyFont="1"/>
    <xf numFmtId="3" fontId="38" fillId="7" borderId="0" xfId="1" applyNumberFormat="1" applyFont="1" applyFill="1"/>
    <xf numFmtId="3" fontId="38" fillId="0" borderId="0" xfId="1" applyNumberFormat="1" applyFont="1" applyFill="1"/>
    <xf numFmtId="164" fontId="47" fillId="0" borderId="0" xfId="8" applyNumberFormat="1" applyFont="1" applyFill="1" applyBorder="1" applyAlignment="1">
      <alignment horizontal="right"/>
    </xf>
    <xf numFmtId="3" fontId="48" fillId="3" borderId="0" xfId="8" applyNumberFormat="1" applyFont="1" applyFill="1" applyBorder="1" applyAlignment="1">
      <alignment horizontal="right"/>
    </xf>
    <xf numFmtId="3" fontId="38" fillId="0" borderId="0" xfId="8" applyNumberFormat="1" applyFont="1" applyFill="1" applyBorder="1" applyAlignment="1">
      <alignment horizontal="left"/>
    </xf>
    <xf numFmtId="3" fontId="51" fillId="0" borderId="0" xfId="8" applyNumberFormat="1" applyFont="1" applyFill="1" applyBorder="1" applyAlignment="1">
      <alignment horizontal="right"/>
    </xf>
    <xf numFmtId="164" fontId="38" fillId="0" borderId="0" xfId="0" applyNumberFormat="1" applyFont="1"/>
    <xf numFmtId="164" fontId="38" fillId="7" borderId="0" xfId="0" applyNumberFormat="1" applyFont="1" applyFill="1"/>
    <xf numFmtId="166" fontId="44" fillId="0" borderId="0" xfId="2" applyNumberFormat="1" applyFont="1"/>
    <xf numFmtId="171" fontId="38" fillId="7" borderId="0" xfId="1" applyNumberFormat="1" applyFont="1" applyFill="1"/>
    <xf numFmtId="0" fontId="38" fillId="0" borderId="0" xfId="0" applyFont="1"/>
    <xf numFmtId="164" fontId="50" fillId="0" borderId="0" xfId="0" applyNumberFormat="1" applyFont="1"/>
    <xf numFmtId="166" fontId="38" fillId="0" borderId="0" xfId="2" applyNumberFormat="1" applyFont="1" applyFill="1"/>
    <xf numFmtId="0" fontId="38" fillId="0" borderId="0" xfId="5" applyFont="1" applyFill="1" applyBorder="1" applyAlignment="1">
      <alignment horizontal="left" indent="1"/>
    </xf>
    <xf numFmtId="166" fontId="44" fillId="0" borderId="0" xfId="2" applyNumberFormat="1" applyFont="1" applyFill="1" applyBorder="1" applyAlignment="1">
      <alignment horizontal="right"/>
    </xf>
    <xf numFmtId="3" fontId="48" fillId="0" borderId="0" xfId="8" applyNumberFormat="1" applyFont="1" applyFill="1" applyBorder="1" applyAlignment="1">
      <alignment horizontal="right"/>
    </xf>
    <xf numFmtId="169" fontId="38" fillId="0" borderId="0" xfId="0" applyNumberFormat="1" applyFont="1"/>
    <xf numFmtId="37" fontId="50" fillId="0" borderId="0" xfId="1" applyNumberFormat="1" applyFont="1"/>
    <xf numFmtId="164" fontId="38" fillId="0" borderId="0" xfId="2" applyNumberFormat="1" applyFont="1" applyFill="1"/>
    <xf numFmtId="164" fontId="38" fillId="0" borderId="0" xfId="10" applyNumberFormat="1" applyFont="1" applyFill="1" applyBorder="1" applyAlignment="1">
      <alignment horizontal="right"/>
    </xf>
    <xf numFmtId="10" fontId="38" fillId="0" borderId="0" xfId="2" applyNumberFormat="1" applyFont="1" applyFill="1" applyBorder="1" applyAlignment="1">
      <alignment horizontal="right"/>
    </xf>
    <xf numFmtId="166" fontId="50" fillId="0" borderId="0" xfId="2" applyNumberFormat="1" applyFont="1" applyFill="1"/>
    <xf numFmtId="164" fontId="52" fillId="0" borderId="0" xfId="5" applyNumberFormat="1" applyFont="1" applyFill="1" applyBorder="1" applyAlignment="1">
      <alignment horizontal="right"/>
    </xf>
    <xf numFmtId="166" fontId="38" fillId="0" borderId="0" xfId="2" applyNumberFormat="1" applyFont="1" applyFill="1" applyBorder="1" applyAlignment="1">
      <alignment horizontal="right"/>
    </xf>
    <xf numFmtId="164" fontId="38" fillId="0" borderId="0" xfId="5" applyNumberFormat="1" applyFont="1" applyFill="1" applyBorder="1" applyAlignment="1">
      <alignment horizontal="right"/>
    </xf>
    <xf numFmtId="164" fontId="39" fillId="0" borderId="0" xfId="8" applyNumberFormat="1" applyFont="1" applyFill="1" applyBorder="1" applyAlignment="1">
      <alignment horizontal="right"/>
    </xf>
    <xf numFmtId="164" fontId="44" fillId="0" borderId="0" xfId="2" applyNumberFormat="1" applyFont="1" applyFill="1" applyBorder="1" applyAlignment="1">
      <alignment horizontal="right"/>
    </xf>
    <xf numFmtId="164" fontId="38" fillId="0" borderId="0" xfId="8" applyNumberFormat="1" applyFont="1" applyFill="1" applyBorder="1" applyAlignment="1">
      <alignment horizontal="right"/>
    </xf>
    <xf numFmtId="166" fontId="50" fillId="0" borderId="0" xfId="0" applyNumberFormat="1" applyFont="1"/>
    <xf numFmtId="167" fontId="44" fillId="0" borderId="0" xfId="0" applyNumberFormat="1" applyFont="1"/>
    <xf numFmtId="164" fontId="53" fillId="0" borderId="0" xfId="8" applyNumberFormat="1" applyFont="1" applyFill="1" applyBorder="1" applyAlignment="1">
      <alignment horizontal="right"/>
    </xf>
    <xf numFmtId="3" fontId="54" fillId="3" borderId="0" xfId="8" applyNumberFormat="1" applyFont="1" applyFill="1" applyBorder="1" applyAlignment="1">
      <alignment horizontal="right"/>
    </xf>
    <xf numFmtId="3" fontId="46" fillId="0" borderId="0" xfId="8" applyNumberFormat="1" applyFont="1" applyFill="1" applyBorder="1" applyAlignment="1">
      <alignment horizontal="left"/>
    </xf>
    <xf numFmtId="166" fontId="44" fillId="0" borderId="0" xfId="0" applyNumberFormat="1" applyFont="1"/>
    <xf numFmtId="172" fontId="47" fillId="0" borderId="0" xfId="2" applyNumberFormat="1" applyFont="1" applyFill="1" applyBorder="1" applyAlignment="1">
      <alignment horizontal="right"/>
    </xf>
    <xf numFmtId="2" fontId="44" fillId="0" borderId="0" xfId="8" applyNumberFormat="1" applyFont="1" applyFill="1" applyBorder="1" applyAlignment="1">
      <alignment horizontal="right"/>
    </xf>
    <xf numFmtId="164" fontId="44" fillId="0" borderId="0" xfId="2" applyNumberFormat="1" applyFont="1" applyFill="1"/>
    <xf numFmtId="166" fontId="46" fillId="0" borderId="0" xfId="2" applyNumberFormat="1" applyFont="1" applyFill="1" applyBorder="1" applyAlignment="1">
      <alignment horizontal="right"/>
    </xf>
    <xf numFmtId="2" fontId="38" fillId="0" borderId="0" xfId="1" applyNumberFormat="1" applyFont="1" applyFill="1" applyBorder="1" applyAlignment="1">
      <alignment horizontal="right"/>
    </xf>
    <xf numFmtId="2" fontId="47" fillId="0" borderId="0" xfId="1" applyNumberFormat="1" applyFont="1" applyFill="1" applyBorder="1" applyAlignment="1">
      <alignment horizontal="right"/>
    </xf>
    <xf numFmtId="164" fontId="55" fillId="0" borderId="0" xfId="8" applyNumberFormat="1" applyFont="1" applyFill="1" applyBorder="1" applyAlignment="1">
      <alignment horizontal="right"/>
    </xf>
    <xf numFmtId="0" fontId="38" fillId="5" borderId="0" xfId="5" applyFont="1" applyFill="1" applyBorder="1"/>
    <xf numFmtId="164" fontId="44" fillId="0" borderId="0" xfId="8" applyNumberFormat="1" applyFont="1" applyFill="1" applyBorder="1" applyAlignment="1">
      <alignment horizontal="right"/>
    </xf>
    <xf numFmtId="3" fontId="56" fillId="0" borderId="0" xfId="8" applyNumberFormat="1" applyFont="1" applyFill="1" applyBorder="1" applyAlignment="1">
      <alignment horizontal="right"/>
    </xf>
    <xf numFmtId="168" fontId="53" fillId="0" borderId="0" xfId="8" applyNumberFormat="1" applyFont="1" applyFill="1" applyBorder="1" applyAlignment="1">
      <alignment horizontal="right"/>
    </xf>
    <xf numFmtId="3" fontId="57" fillId="3" borderId="0" xfId="8" applyNumberFormat="1" applyFont="1" applyFill="1" applyBorder="1" applyAlignment="1">
      <alignment horizontal="right"/>
    </xf>
    <xf numFmtId="164" fontId="55" fillId="0" borderId="0" xfId="5" applyNumberFormat="1" applyFont="1" applyFill="1" applyBorder="1" applyAlignment="1">
      <alignment horizontal="right"/>
    </xf>
    <xf numFmtId="3" fontId="58" fillId="0" borderId="0" xfId="8" applyNumberFormat="1" applyFont="1" applyFill="1" applyBorder="1" applyAlignment="1">
      <alignment horizontal="right"/>
    </xf>
    <xf numFmtId="166" fontId="47" fillId="0" borderId="0" xfId="2" applyNumberFormat="1" applyFont="1" applyFill="1" applyBorder="1" applyAlignment="1">
      <alignment horizontal="right"/>
    </xf>
    <xf numFmtId="164" fontId="59" fillId="0" borderId="0" xfId="8" applyNumberFormat="1" applyFont="1" applyFill="1" applyBorder="1" applyAlignment="1">
      <alignment horizontal="right"/>
    </xf>
    <xf numFmtId="0" fontId="50" fillId="0" borderId="0" xfId="0" applyFont="1" applyAlignment="1">
      <alignment vertical="center"/>
    </xf>
    <xf numFmtId="0" fontId="60" fillId="0" borderId="0" xfId="0" applyFont="1"/>
    <xf numFmtId="164" fontId="61" fillId="0" borderId="0" xfId="8" applyNumberFormat="1" applyFont="1" applyFill="1" applyBorder="1" applyAlignment="1">
      <alignment horizontal="right"/>
    </xf>
    <xf numFmtId="168" fontId="54" fillId="3" borderId="0" xfId="8" applyNumberFormat="1" applyFont="1" applyFill="1" applyBorder="1" applyAlignment="1">
      <alignment horizontal="right"/>
    </xf>
    <xf numFmtId="168" fontId="46" fillId="0" borderId="0" xfId="8" applyNumberFormat="1" applyFont="1" applyFill="1" applyBorder="1" applyAlignment="1">
      <alignment horizontal="left"/>
    </xf>
    <xf numFmtId="4" fontId="56" fillId="0" borderId="0" xfId="8" applyNumberFormat="1" applyFont="1" applyFill="1" applyBorder="1" applyAlignment="1">
      <alignment horizontal="right"/>
    </xf>
    <xf numFmtId="0" fontId="46" fillId="0" borderId="0" xfId="5" applyNumberFormat="1" applyFont="1" applyFill="1" applyBorder="1"/>
    <xf numFmtId="4" fontId="38" fillId="0" borderId="0" xfId="5" applyNumberFormat="1" applyFont="1" applyFill="1" applyBorder="1"/>
    <xf numFmtId="170" fontId="39" fillId="0" borderId="0" xfId="1" applyNumberFormat="1" applyFont="1" applyFill="1" applyBorder="1" applyAlignment="1">
      <alignment horizontal="right"/>
    </xf>
    <xf numFmtId="4" fontId="38" fillId="5" borderId="0" xfId="5" applyNumberFormat="1" applyFont="1" applyFill="1" applyBorder="1" applyAlignment="1">
      <alignment horizontal="left" indent="1"/>
    </xf>
    <xf numFmtId="169" fontId="47" fillId="0" borderId="0" xfId="8" applyNumberFormat="1" applyFont="1" applyFill="1" applyBorder="1" applyAlignment="1">
      <alignment horizontal="right"/>
    </xf>
    <xf numFmtId="4" fontId="46" fillId="0" borderId="0" xfId="5" applyNumberFormat="1" applyFont="1" applyFill="1" applyBorder="1" applyAlignment="1">
      <alignment horizontal="left"/>
    </xf>
    <xf numFmtId="168" fontId="59" fillId="0" borderId="0" xfId="1" applyNumberFormat="1" applyFont="1" applyFill="1" applyBorder="1" applyAlignment="1">
      <alignment horizontal="right"/>
    </xf>
    <xf numFmtId="169" fontId="45" fillId="8" borderId="0" xfId="8" applyNumberFormat="1" applyFont="1" applyFill="1" applyBorder="1" applyAlignment="1">
      <alignment horizontal="right"/>
    </xf>
    <xf numFmtId="3" fontId="62" fillId="0" borderId="0" xfId="8" applyNumberFormat="1" applyFont="1" applyFill="1" applyBorder="1" applyAlignment="1">
      <alignment horizontal="left"/>
    </xf>
    <xf numFmtId="169" fontId="38" fillId="0" borderId="0" xfId="8" applyNumberFormat="1" applyFont="1" applyFill="1" applyBorder="1" applyAlignment="1">
      <alignment horizontal="left"/>
    </xf>
    <xf numFmtId="0" fontId="46" fillId="0" borderId="0" xfId="4" applyFont="1" applyFill="1" applyBorder="1" applyAlignment="1">
      <alignment vertical="center"/>
    </xf>
    <xf numFmtId="0" fontId="50" fillId="0" borderId="0" xfId="0" quotePrefix="1" applyFont="1"/>
    <xf numFmtId="49" fontId="38" fillId="0" borderId="0" xfId="5" applyNumberFormat="1" applyFont="1" applyFill="1" applyBorder="1"/>
    <xf numFmtId="49" fontId="38" fillId="0" borderId="0" xfId="5" applyNumberFormat="1" applyFont="1" applyFill="1" applyBorder="1" applyAlignment="1">
      <alignment horizontal="left" indent="1"/>
    </xf>
    <xf numFmtId="0" fontId="51" fillId="0" borderId="0" xfId="5" applyNumberFormat="1" applyFont="1" applyFill="1" applyBorder="1" applyAlignment="1">
      <alignment horizontal="right"/>
    </xf>
    <xf numFmtId="49" fontId="46" fillId="0" borderId="0" xfId="5" applyNumberFormat="1" applyFont="1" applyFill="1" applyBorder="1"/>
    <xf numFmtId="49" fontId="38" fillId="3" borderId="0" xfId="5" applyNumberFormat="1" applyFont="1" applyFill="1" applyBorder="1" applyAlignment="1">
      <alignment horizontal="right" vertical="center"/>
    </xf>
    <xf numFmtId="49" fontId="38" fillId="0" borderId="0" xfId="5" applyNumberFormat="1" applyFont="1" applyFill="1" applyBorder="1" applyAlignment="1">
      <alignment horizontal="left" vertical="center"/>
    </xf>
    <xf numFmtId="164" fontId="47" fillId="0" borderId="0" xfId="5" applyNumberFormat="1" applyFont="1" applyFill="1" applyBorder="1" applyAlignment="1">
      <alignment horizontal="right" vertical="center"/>
    </xf>
    <xf numFmtId="49" fontId="51" fillId="0" borderId="0" xfId="5" applyNumberFormat="1" applyFont="1" applyFill="1" applyBorder="1" applyAlignment="1">
      <alignment horizontal="right" vertical="center"/>
    </xf>
    <xf numFmtId="3" fontId="38" fillId="3" borderId="0" xfId="5" applyNumberFormat="1" applyFont="1" applyFill="1" applyBorder="1" applyAlignment="1">
      <alignment horizontal="right"/>
    </xf>
    <xf numFmtId="3" fontId="38" fillId="0" borderId="0" xfId="5" applyNumberFormat="1" applyFont="1" applyFill="1" applyBorder="1" applyAlignment="1">
      <alignment horizontal="left"/>
    </xf>
    <xf numFmtId="3" fontId="51" fillId="0" borderId="0" xfId="5" applyNumberFormat="1" applyFont="1" applyFill="1" applyBorder="1" applyAlignment="1">
      <alignment horizontal="right"/>
    </xf>
    <xf numFmtId="3" fontId="38" fillId="3" borderId="0" xfId="8" applyNumberFormat="1" applyFont="1" applyFill="1" applyBorder="1" applyAlignment="1">
      <alignment horizontal="right"/>
    </xf>
    <xf numFmtId="168" fontId="39" fillId="0" borderId="0" xfId="8" applyNumberFormat="1" applyFont="1" applyFill="1" applyBorder="1" applyAlignment="1">
      <alignment horizontal="right"/>
    </xf>
    <xf numFmtId="0" fontId="40" fillId="0" borderId="0" xfId="5" applyFont="1" applyFill="1" applyBorder="1" applyAlignment="1">
      <alignment horizontal="right"/>
    </xf>
    <xf numFmtId="164" fontId="38" fillId="7" borderId="0" xfId="10" applyNumberFormat="1" applyFont="1" applyFill="1" applyBorder="1" applyAlignment="1">
      <alignment horizontal="right"/>
    </xf>
    <xf numFmtId="164" fontId="63" fillId="7" borderId="0" xfId="0" applyNumberFormat="1" applyFont="1" applyFill="1" applyAlignment="1">
      <alignment horizontal="right" vertical="center" wrapText="1"/>
    </xf>
    <xf numFmtId="164" fontId="50" fillId="7" borderId="0" xfId="0" applyNumberFormat="1" applyFont="1" applyFill="1" applyAlignment="1">
      <alignment horizontal="right"/>
    </xf>
    <xf numFmtId="166" fontId="38" fillId="7" borderId="0" xfId="2" applyNumberFormat="1" applyFont="1" applyFill="1" applyBorder="1"/>
    <xf numFmtId="3" fontId="38" fillId="7" borderId="0" xfId="1" applyNumberFormat="1" applyFont="1" applyFill="1" applyBorder="1"/>
    <xf numFmtId="0" fontId="63" fillId="7" borderId="0" xfId="0" applyFont="1" applyFill="1" applyAlignment="1">
      <alignment horizontal="left" vertical="center" wrapText="1"/>
    </xf>
    <xf numFmtId="0" fontId="64" fillId="0" borderId="0" xfId="0" applyFont="1"/>
    <xf numFmtId="164" fontId="38" fillId="7" borderId="0" xfId="5" applyNumberFormat="1" applyFont="1" applyFill="1" applyBorder="1" applyAlignment="1">
      <alignment horizontal="right"/>
    </xf>
    <xf numFmtId="0" fontId="63" fillId="7" borderId="0" xfId="0" applyFont="1" applyFill="1" applyAlignment="1">
      <alignment horizontal="left" vertical="center" wrapText="1" indent="1"/>
    </xf>
    <xf numFmtId="0" fontId="63" fillId="7" borderId="0" xfId="0" applyFont="1" applyFill="1" applyAlignment="1">
      <alignment horizontal="left" vertical="center" wrapText="1" indent="2"/>
    </xf>
    <xf numFmtId="9" fontId="63" fillId="7" borderId="0" xfId="2" applyFont="1" applyFill="1" applyAlignment="1">
      <alignment horizontal="right" vertical="center" wrapText="1"/>
    </xf>
    <xf numFmtId="49" fontId="44" fillId="0" borderId="0" xfId="0" applyNumberFormat="1" applyFont="1" applyAlignment="1">
      <alignment horizontal="left" vertical="top"/>
    </xf>
    <xf numFmtId="49" fontId="44" fillId="0" borderId="0" xfId="0" applyNumberFormat="1" applyFont="1" applyAlignment="1">
      <alignment horizontal="center" vertical="center"/>
    </xf>
    <xf numFmtId="0" fontId="44" fillId="0" borderId="0" xfId="0" applyFont="1" applyAlignment="1">
      <alignment horizontal="left" vertical="center"/>
    </xf>
    <xf numFmtId="0" fontId="46" fillId="0" borderId="0" xfId="0" applyFont="1" applyAlignment="1">
      <alignment horizontal="center" vertical="center"/>
    </xf>
    <xf numFmtId="0" fontId="40" fillId="0" borderId="0" xfId="5" applyFont="1" applyFill="1" applyBorder="1" applyAlignment="1">
      <alignment horizontal="center" vertical="center"/>
    </xf>
    <xf numFmtId="0" fontId="49" fillId="0" borderId="0" xfId="0" applyFont="1" applyAlignment="1">
      <alignment vertical="top"/>
    </xf>
    <xf numFmtId="0" fontId="40" fillId="0" borderId="0" xfId="5" applyFont="1" applyFill="1" applyBorder="1" applyAlignment="1">
      <alignment horizontal="center"/>
    </xf>
    <xf numFmtId="0" fontId="46" fillId="0" borderId="0" xfId="3" applyFont="1" applyFill="1" applyBorder="1" applyAlignment="1">
      <alignment horizontal="left" vertical="center"/>
    </xf>
    <xf numFmtId="9" fontId="63" fillId="7" borderId="0" xfId="2" applyFont="1" applyFill="1" applyBorder="1" applyAlignment="1">
      <alignment horizontal="right" vertical="center" wrapText="1"/>
    </xf>
    <xf numFmtId="164" fontId="28" fillId="0" borderId="0" xfId="0" applyNumberFormat="1" applyFont="1"/>
    <xf numFmtId="0" fontId="63" fillId="0" borderId="0" xfId="0" applyFont="1" applyAlignment="1">
      <alignment horizontal="left" vertical="center" wrapText="1"/>
    </xf>
    <xf numFmtId="169" fontId="63" fillId="0" borderId="0" xfId="0" applyNumberFormat="1" applyFont="1" applyAlignment="1">
      <alignment horizontal="right" vertical="center" wrapText="1"/>
    </xf>
    <xf numFmtId="164" fontId="63" fillId="0" borderId="0" xfId="0" applyNumberFormat="1" applyFont="1" applyAlignment="1">
      <alignment horizontal="right" vertical="center" wrapText="1"/>
    </xf>
    <xf numFmtId="164" fontId="38" fillId="0" borderId="0" xfId="5" applyNumberFormat="1" applyFont="1" applyFill="1" applyBorder="1" applyAlignment="1">
      <alignment horizontal="left"/>
    </xf>
    <xf numFmtId="164" fontId="46" fillId="0" borderId="0" xfId="5" applyNumberFormat="1" applyFont="1" applyFill="1" applyBorder="1" applyAlignment="1">
      <alignment horizontal="left"/>
    </xf>
    <xf numFmtId="164" fontId="63" fillId="0" borderId="0" xfId="0" applyNumberFormat="1" applyFont="1" applyAlignment="1">
      <alignment horizontal="left" vertical="center" wrapText="1"/>
    </xf>
    <xf numFmtId="9" fontId="63" fillId="0" borderId="0" xfId="2" applyFont="1" applyFill="1" applyAlignment="1">
      <alignment horizontal="right" vertical="center" wrapText="1"/>
    </xf>
    <xf numFmtId="164" fontId="50" fillId="0" borderId="0" xfId="2" applyNumberFormat="1" applyFont="1" applyFill="1" applyBorder="1" applyAlignment="1">
      <alignment horizontal="right"/>
    </xf>
    <xf numFmtId="164" fontId="46" fillId="0" borderId="0" xfId="5" applyNumberFormat="1" applyFont="1" applyFill="1" applyBorder="1" applyAlignment="1">
      <alignment horizontal="right"/>
    </xf>
    <xf numFmtId="168" fontId="38" fillId="0" borderId="0" xfId="5" applyNumberFormat="1" applyFont="1" applyFill="1" applyBorder="1" applyAlignment="1">
      <alignment horizontal="right"/>
    </xf>
    <xf numFmtId="168" fontId="46" fillId="0" borderId="0" xfId="5" applyNumberFormat="1" applyFont="1" applyFill="1" applyBorder="1" applyAlignment="1">
      <alignment horizontal="right"/>
    </xf>
    <xf numFmtId="164" fontId="38" fillId="0" borderId="0" xfId="2" applyNumberFormat="1" applyFont="1" applyAlignment="1">
      <alignment horizontal="right"/>
    </xf>
    <xf numFmtId="0" fontId="30" fillId="0" borderId="0" xfId="0" applyFont="1"/>
    <xf numFmtId="9" fontId="0" fillId="0" borderId="0" xfId="0" applyNumberFormat="1"/>
    <xf numFmtId="168" fontId="0" fillId="0" borderId="0" xfId="10" applyNumberFormat="1" applyFont="1"/>
    <xf numFmtId="10" fontId="0" fillId="0" borderId="0" xfId="0" applyNumberFormat="1"/>
    <xf numFmtId="173" fontId="0" fillId="0" borderId="0" xfId="0" applyNumberFormat="1"/>
    <xf numFmtId="168" fontId="0" fillId="0" borderId="0" xfId="0" applyNumberFormat="1"/>
    <xf numFmtId="168" fontId="0" fillId="0" borderId="0" xfId="10" applyNumberFormat="1" applyFont="1" applyBorder="1"/>
    <xf numFmtId="0" fontId="65" fillId="6" borderId="0" xfId="0" applyFont="1" applyFill="1" applyAlignment="1">
      <alignment vertical="top"/>
    </xf>
    <xf numFmtId="0" fontId="11" fillId="0" borderId="0" xfId="0" applyFont="1" applyAlignment="1">
      <alignment vertical="top"/>
    </xf>
    <xf numFmtId="0" fontId="1" fillId="0" borderId="0" xfId="0" applyFont="1"/>
    <xf numFmtId="0" fontId="17" fillId="5" borderId="0" xfId="0" applyFont="1" applyFill="1"/>
    <xf numFmtId="0" fontId="17" fillId="5" borderId="0" xfId="0" applyFont="1" applyFill="1" applyAlignment="1">
      <alignment horizontal="right" vertical="center"/>
    </xf>
    <xf numFmtId="0" fontId="17" fillId="5" borderId="3" xfId="0" applyFont="1" applyFill="1" applyBorder="1"/>
    <xf numFmtId="0" fontId="17" fillId="5" borderId="3" xfId="0" applyFont="1" applyFill="1" applyBorder="1" applyAlignment="1">
      <alignment horizontal="center"/>
    </xf>
    <xf numFmtId="0" fontId="17" fillId="5" borderId="0" xfId="0" applyFont="1" applyFill="1" applyAlignment="1">
      <alignment horizontal="right"/>
    </xf>
    <xf numFmtId="164" fontId="17" fillId="5" borderId="0" xfId="0" applyNumberFormat="1" applyFont="1" applyFill="1"/>
    <xf numFmtId="166" fontId="17" fillId="5" borderId="0" xfId="2" applyNumberFormat="1" applyFont="1" applyFill="1"/>
    <xf numFmtId="168" fontId="17" fillId="5" borderId="0" xfId="0" applyNumberFormat="1" applyFont="1" applyFill="1" applyAlignment="1">
      <alignment horizontal="right"/>
    </xf>
    <xf numFmtId="166" fontId="17" fillId="5" borderId="0" xfId="2" applyNumberFormat="1" applyFont="1" applyFill="1" applyAlignment="1">
      <alignment horizontal="right"/>
    </xf>
    <xf numFmtId="168" fontId="17" fillId="5" borderId="0" xfId="2" applyNumberFormat="1" applyFont="1" applyFill="1" applyAlignment="1">
      <alignment horizontal="right"/>
    </xf>
    <xf numFmtId="164" fontId="17" fillId="5" borderId="0" xfId="2" applyNumberFormat="1" applyFont="1" applyFill="1" applyAlignment="1">
      <alignment horizontal="right"/>
    </xf>
    <xf numFmtId="168" fontId="17" fillId="5" borderId="0" xfId="0" applyNumberFormat="1" applyFont="1" applyFill="1"/>
    <xf numFmtId="164" fontId="38" fillId="0" borderId="0" xfId="1" applyNumberFormat="1" applyFont="1" applyFill="1"/>
    <xf numFmtId="166" fontId="39" fillId="0" borderId="0" xfId="8" applyNumberFormat="1" applyFont="1" applyFill="1" applyBorder="1" applyAlignment="1">
      <alignment horizontal="right"/>
    </xf>
    <xf numFmtId="166" fontId="38" fillId="0" borderId="0" xfId="5" applyNumberFormat="1" applyFont="1" applyFill="1" applyBorder="1" applyAlignment="1">
      <alignment horizontal="right"/>
    </xf>
    <xf numFmtId="164" fontId="38" fillId="0" borderId="0" xfId="0" applyNumberFormat="1" applyFont="1" applyAlignment="1">
      <alignment horizontal="right" vertical="center" wrapText="1"/>
    </xf>
    <xf numFmtId="0" fontId="38" fillId="7" borderId="0" xfId="0" applyFont="1" applyFill="1" applyAlignment="1">
      <alignment horizontal="left" indent="2"/>
    </xf>
    <xf numFmtId="166" fontId="38" fillId="7" borderId="0" xfId="2" applyNumberFormat="1" applyFont="1" applyFill="1" applyAlignment="1">
      <alignment horizontal="left" indent="1"/>
    </xf>
    <xf numFmtId="164" fontId="47" fillId="0" borderId="0" xfId="8" applyNumberFormat="1" applyFont="1" applyFill="1" applyBorder="1" applyAlignment="1">
      <alignment horizontal="left" indent="1"/>
    </xf>
    <xf numFmtId="3" fontId="48" fillId="3" borderId="0" xfId="8" applyNumberFormat="1" applyFont="1" applyFill="1" applyBorder="1" applyAlignment="1">
      <alignment horizontal="left" indent="1"/>
    </xf>
    <xf numFmtId="3" fontId="38" fillId="0" borderId="0" xfId="8" applyNumberFormat="1" applyFont="1" applyFill="1" applyBorder="1" applyAlignment="1">
      <alignment horizontal="left" indent="1"/>
    </xf>
    <xf numFmtId="170" fontId="44" fillId="0" borderId="0" xfId="1" applyNumberFormat="1" applyFont="1" applyFill="1" applyBorder="1" applyAlignment="1">
      <alignment horizontal="right"/>
    </xf>
    <xf numFmtId="164" fontId="50" fillId="0" borderId="0" xfId="0" quotePrefix="1" applyNumberFormat="1" applyFont="1"/>
    <xf numFmtId="164" fontId="38" fillId="0" borderId="0" xfId="5" applyNumberFormat="1" applyFont="1" applyFill="1" applyBorder="1"/>
    <xf numFmtId="49" fontId="38" fillId="0" borderId="0" xfId="5" applyNumberFormat="1" applyFont="1" applyFill="1" applyBorder="1" applyAlignment="1">
      <alignment horizontal="right" vertical="center"/>
    </xf>
    <xf numFmtId="164" fontId="50" fillId="0" borderId="0" xfId="0" applyNumberFormat="1" applyFont="1" applyAlignment="1">
      <alignment horizontal="right"/>
    </xf>
    <xf numFmtId="3" fontId="54" fillId="0" borderId="0" xfId="8" applyNumberFormat="1" applyFont="1" applyFill="1" applyBorder="1" applyAlignment="1">
      <alignment horizontal="right"/>
    </xf>
    <xf numFmtId="168" fontId="17" fillId="0" borderId="0" xfId="5" applyNumberFormat="1" applyFont="1" applyFill="1" applyBorder="1"/>
    <xf numFmtId="168" fontId="66" fillId="0" borderId="0" xfId="5" applyNumberFormat="1" applyFont="1" applyFill="1" applyBorder="1"/>
    <xf numFmtId="170" fontId="17" fillId="0" borderId="0" xfId="1" applyNumberFormat="1" applyFont="1" applyFill="1" applyBorder="1"/>
    <xf numFmtId="168" fontId="13" fillId="0" borderId="0" xfId="5" applyNumberFormat="1" applyFont="1" applyFill="1" applyBorder="1" applyAlignment="1">
      <alignment horizontal="left"/>
    </xf>
    <xf numFmtId="168" fontId="17" fillId="0" borderId="0" xfId="5" applyNumberFormat="1" applyFont="1" applyFill="1" applyBorder="1" applyAlignment="1">
      <alignment horizontal="left" indent="1"/>
    </xf>
    <xf numFmtId="164" fontId="17" fillId="0" borderId="32" xfId="1" applyNumberFormat="1" applyFont="1" applyFill="1" applyBorder="1" applyAlignment="1">
      <alignment horizontal="right" vertical="center" wrapText="1"/>
    </xf>
    <xf numFmtId="164" fontId="17" fillId="0" borderId="31" xfId="1" applyNumberFormat="1" applyFont="1" applyFill="1" applyBorder="1" applyAlignment="1">
      <alignment horizontal="right" vertical="center" wrapText="1"/>
    </xf>
    <xf numFmtId="164" fontId="17" fillId="0" borderId="29" xfId="1" applyNumberFormat="1" applyFont="1" applyFill="1" applyBorder="1" applyAlignment="1">
      <alignment horizontal="right" vertical="center" wrapText="1"/>
    </xf>
    <xf numFmtId="164" fontId="17" fillId="0" borderId="45" xfId="1" applyNumberFormat="1" applyFont="1" applyFill="1" applyBorder="1" applyAlignment="1">
      <alignment horizontal="right" vertical="center" wrapText="1"/>
    </xf>
    <xf numFmtId="0" fontId="17" fillId="0" borderId="0" xfId="9" applyFont="1"/>
    <xf numFmtId="0" fontId="21" fillId="0" borderId="0" xfId="0" applyFont="1"/>
    <xf numFmtId="10" fontId="67" fillId="0" borderId="0" xfId="2" applyNumberFormat="1" applyFont="1"/>
    <xf numFmtId="0" fontId="67" fillId="0" borderId="0" xfId="0" applyFont="1"/>
    <xf numFmtId="174" fontId="67" fillId="0" borderId="0" xfId="0" applyNumberFormat="1" applyFont="1"/>
    <xf numFmtId="9" fontId="67" fillId="0" borderId="0" xfId="2" applyFont="1"/>
    <xf numFmtId="10" fontId="67" fillId="0" borderId="0" xfId="0" applyNumberFormat="1" applyFont="1"/>
    <xf numFmtId="14" fontId="67" fillId="0" borderId="0" xfId="0" applyNumberFormat="1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164" fontId="50" fillId="0" borderId="0" xfId="10" applyNumberFormat="1" applyFont="1" applyFill="1"/>
    <xf numFmtId="43" fontId="38" fillId="0" borderId="0" xfId="1" applyFont="1" applyFill="1" applyBorder="1" applyAlignment="1">
      <alignment horizontal="right" indent="3"/>
    </xf>
    <xf numFmtId="9" fontId="17" fillId="0" borderId="0" xfId="2" applyFont="1" applyFill="1" applyBorder="1"/>
    <xf numFmtId="0" fontId="17" fillId="0" borderId="0" xfId="0" applyFont="1"/>
    <xf numFmtId="164" fontId="17" fillId="0" borderId="0" xfId="2" applyNumberFormat="1" applyFont="1" applyFill="1" applyBorder="1"/>
    <xf numFmtId="166" fontId="17" fillId="0" borderId="0" xfId="2" applyNumberFormat="1" applyFont="1" applyFill="1" applyBorder="1" applyAlignment="1">
      <alignment horizontal="right" vertical="center" wrapText="1"/>
    </xf>
    <xf numFmtId="166" fontId="63" fillId="7" borderId="0" xfId="2" applyNumberFormat="1" applyFont="1" applyFill="1" applyAlignment="1">
      <alignment horizontal="right" vertical="center" wrapText="1"/>
    </xf>
    <xf numFmtId="166" fontId="63" fillId="0" borderId="0" xfId="2" applyNumberFormat="1" applyFont="1" applyFill="1" applyAlignment="1">
      <alignment horizontal="right" vertical="center" wrapText="1"/>
    </xf>
    <xf numFmtId="0" fontId="38" fillId="7" borderId="0" xfId="5" applyFont="1" applyFill="1" applyBorder="1" applyAlignment="1">
      <alignment horizontal="left" indent="1"/>
    </xf>
    <xf numFmtId="0" fontId="38" fillId="7" borderId="0" xfId="5" applyFont="1" applyFill="1" applyBorder="1" applyAlignment="1">
      <alignment horizontal="right"/>
    </xf>
    <xf numFmtId="166" fontId="38" fillId="7" borderId="0" xfId="2" applyNumberFormat="1" applyFont="1" applyFill="1" applyBorder="1" applyAlignment="1">
      <alignment horizontal="right"/>
    </xf>
    <xf numFmtId="166" fontId="38" fillId="7" borderId="0" xfId="2" applyNumberFormat="1" applyFont="1" applyFill="1" applyAlignment="1">
      <alignment horizontal="right"/>
    </xf>
    <xf numFmtId="175" fontId="50" fillId="0" borderId="0" xfId="2" applyNumberFormat="1" applyFont="1"/>
    <xf numFmtId="9" fontId="44" fillId="0" borderId="0" xfId="2" applyFont="1"/>
    <xf numFmtId="9" fontId="38" fillId="0" borderId="0" xfId="2" applyFont="1" applyFill="1" applyBorder="1" applyAlignment="1">
      <alignment horizontal="right"/>
    </xf>
    <xf numFmtId="9" fontId="63" fillId="0" borderId="0" xfId="2" applyFont="1" applyAlignment="1">
      <alignment horizontal="right" vertical="center" wrapText="1"/>
    </xf>
    <xf numFmtId="176" fontId="38" fillId="0" borderId="0" xfId="10" applyNumberFormat="1" applyFont="1" applyFill="1" applyBorder="1" applyAlignment="1">
      <alignment horizontal="right"/>
    </xf>
    <xf numFmtId="9" fontId="38" fillId="0" borderId="0" xfId="2" applyFont="1" applyAlignment="1">
      <alignment horizontal="right" vertical="center" wrapText="1"/>
    </xf>
    <xf numFmtId="164" fontId="51" fillId="0" borderId="0" xfId="5" applyNumberFormat="1" applyFont="1" applyFill="1" applyBorder="1" applyAlignment="1">
      <alignment horizontal="right"/>
    </xf>
    <xf numFmtId="0" fontId="1" fillId="0" borderId="0" xfId="5" applyFont="1" applyFill="1" applyAlignment="1">
      <alignment horizontal="right"/>
    </xf>
    <xf numFmtId="0" fontId="11" fillId="0" borderId="0" xfId="5" applyFont="1" applyFill="1" applyAlignment="1">
      <alignment horizontal="right"/>
    </xf>
    <xf numFmtId="170" fontId="17" fillId="0" borderId="0" xfId="1" applyNumberFormat="1" applyFont="1" applyFill="1" applyBorder="1" applyAlignment="1">
      <alignment horizontal="right" vertical="center" wrapText="1"/>
    </xf>
    <xf numFmtId="9" fontId="17" fillId="0" borderId="0" xfId="2" applyFont="1" applyFill="1" applyBorder="1" applyAlignment="1">
      <alignment horizontal="right" vertical="center" wrapText="1"/>
    </xf>
    <xf numFmtId="166" fontId="17" fillId="0" borderId="10" xfId="2" applyNumberFormat="1" applyFont="1" applyFill="1" applyBorder="1" applyAlignment="1">
      <alignment horizontal="right" vertical="center" wrapText="1"/>
    </xf>
    <xf numFmtId="0" fontId="50" fillId="0" borderId="0" xfId="0" applyFont="1" applyAlignment="1">
      <alignment horizontal="right"/>
    </xf>
    <xf numFmtId="14" fontId="50" fillId="0" borderId="0" xfId="0" applyNumberFormat="1" applyFont="1" applyAlignment="1">
      <alignment horizontal="right"/>
    </xf>
    <xf numFmtId="0" fontId="49" fillId="0" borderId="0" xfId="0" applyFont="1"/>
    <xf numFmtId="9" fontId="69" fillId="0" borderId="0" xfId="2" applyFont="1" applyBorder="1"/>
    <xf numFmtId="0" fontId="70" fillId="0" borderId="0" xfId="0" applyFont="1" applyAlignment="1">
      <alignment wrapText="1"/>
    </xf>
    <xf numFmtId="0" fontId="49" fillId="0" borderId="0" xfId="0" applyFont="1" applyAlignment="1">
      <alignment horizontal="right"/>
    </xf>
    <xf numFmtId="0" fontId="63" fillId="0" borderId="0" xfId="0" applyFont="1"/>
    <xf numFmtId="0" fontId="71" fillId="0" borderId="0" xfId="0" applyFont="1"/>
    <xf numFmtId="0" fontId="71" fillId="0" borderId="0" xfId="0" applyFont="1" applyAlignment="1">
      <alignment horizontal="left"/>
    </xf>
    <xf numFmtId="0" fontId="63" fillId="0" borderId="0" xfId="0" applyFont="1" applyAlignment="1">
      <alignment horizontal="right"/>
    </xf>
    <xf numFmtId="164" fontId="63" fillId="0" borderId="0" xfId="0" applyNumberFormat="1" applyFont="1" applyAlignment="1">
      <alignment horizontal="left" indent="1"/>
    </xf>
    <xf numFmtId="164" fontId="63" fillId="0" borderId="0" xfId="0" applyNumberFormat="1" applyFont="1"/>
    <xf numFmtId="164" fontId="63" fillId="0" borderId="0" xfId="0" applyNumberFormat="1" applyFont="1" applyAlignment="1">
      <alignment horizontal="right" wrapText="1"/>
    </xf>
    <xf numFmtId="164" fontId="38" fillId="0" borderId="0" xfId="0" applyNumberFormat="1" applyFont="1" applyAlignment="1">
      <alignment horizontal="right" wrapText="1"/>
    </xf>
    <xf numFmtId="164" fontId="38" fillId="0" borderId="0" xfId="0" applyNumberFormat="1" applyFont="1" applyAlignment="1">
      <alignment horizontal="right"/>
    </xf>
    <xf numFmtId="164" fontId="63" fillId="0" borderId="0" xfId="0" applyNumberFormat="1" applyFont="1" applyAlignment="1">
      <alignment horizontal="right"/>
    </xf>
    <xf numFmtId="0" fontId="63" fillId="0" borderId="0" xfId="0" applyFont="1" applyAlignment="1">
      <alignment horizontal="left" vertical="center" wrapText="1" indent="4"/>
    </xf>
    <xf numFmtId="0" fontId="71" fillId="0" borderId="0" xfId="0" applyFont="1" applyAlignment="1">
      <alignment horizontal="left" vertical="center" wrapText="1"/>
    </xf>
    <xf numFmtId="169" fontId="71" fillId="0" borderId="0" xfId="0" applyNumberFormat="1" applyFont="1" applyAlignment="1">
      <alignment horizontal="right" vertical="center" wrapText="1"/>
    </xf>
    <xf numFmtId="166" fontId="63" fillId="0" borderId="0" xfId="2" applyNumberFormat="1" applyFont="1" applyBorder="1" applyAlignment="1">
      <alignment horizontal="right" vertical="center" wrapText="1"/>
    </xf>
    <xf numFmtId="166" fontId="63" fillId="0" borderId="0" xfId="2" applyNumberFormat="1" applyFont="1" applyBorder="1" applyAlignment="1">
      <alignment horizontal="right" wrapText="1"/>
    </xf>
    <xf numFmtId="0" fontId="71" fillId="0" borderId="0" xfId="0" applyFont="1" applyAlignment="1">
      <alignment horizontal="right"/>
    </xf>
    <xf numFmtId="9" fontId="63" fillId="0" borderId="0" xfId="2" applyFont="1" applyBorder="1"/>
    <xf numFmtId="177" fontId="63" fillId="0" borderId="0" xfId="1" applyNumberFormat="1" applyFont="1" applyBorder="1" applyAlignment="1">
      <alignment horizontal="right" vertical="center" wrapText="1"/>
    </xf>
    <xf numFmtId="177" fontId="63" fillId="0" borderId="0" xfId="1" applyNumberFormat="1" applyFont="1" applyBorder="1" applyAlignment="1">
      <alignment horizontal="right" wrapText="1"/>
    </xf>
    <xf numFmtId="177" fontId="38" fillId="0" borderId="0" xfId="1" applyNumberFormat="1" applyFont="1" applyBorder="1" applyAlignment="1">
      <alignment horizontal="right" wrapText="1"/>
    </xf>
    <xf numFmtId="177" fontId="50" fillId="0" borderId="0" xfId="1" applyNumberFormat="1" applyFont="1" applyBorder="1" applyAlignment="1">
      <alignment horizontal="right" vertical="center" wrapText="1"/>
    </xf>
    <xf numFmtId="168" fontId="38" fillId="0" borderId="0" xfId="1" applyNumberFormat="1" applyFont="1" applyBorder="1" applyAlignment="1">
      <alignment horizontal="right" wrapText="1"/>
    </xf>
    <xf numFmtId="0" fontId="63" fillId="0" borderId="0" xfId="0" applyFont="1" applyAlignment="1">
      <alignment horizontal="left" indent="1"/>
    </xf>
    <xf numFmtId="0" fontId="63" fillId="0" borderId="0" xfId="0" quotePrefix="1" applyFont="1"/>
    <xf numFmtId="9" fontId="63" fillId="0" borderId="0" xfId="2" applyFont="1" applyBorder="1" applyAlignment="1">
      <alignment horizontal="right" vertical="center" wrapText="1"/>
    </xf>
    <xf numFmtId="9" fontId="63" fillId="0" borderId="0" xfId="2" applyFont="1" applyBorder="1" applyAlignment="1">
      <alignment horizontal="right" wrapText="1"/>
    </xf>
    <xf numFmtId="9" fontId="38" fillId="0" borderId="0" xfId="2" applyFont="1" applyBorder="1" applyAlignment="1">
      <alignment horizontal="right" wrapText="1"/>
    </xf>
    <xf numFmtId="164" fontId="63" fillId="0" borderId="0" xfId="10" applyNumberFormat="1" applyFont="1" applyBorder="1" applyAlignment="1">
      <alignment horizontal="left" indent="1"/>
    </xf>
    <xf numFmtId="164" fontId="63" fillId="0" borderId="0" xfId="10" applyNumberFormat="1" applyFont="1" applyBorder="1"/>
    <xf numFmtId="164" fontId="63" fillId="0" borderId="0" xfId="10" applyNumberFormat="1" applyFont="1" applyBorder="1" applyAlignment="1">
      <alignment horizontal="right" vertical="center" wrapText="1"/>
    </xf>
    <xf numFmtId="164" fontId="63" fillId="0" borderId="0" xfId="10" applyNumberFormat="1" applyFont="1" applyBorder="1" applyAlignment="1">
      <alignment horizontal="right" wrapText="1"/>
    </xf>
    <xf numFmtId="164" fontId="38" fillId="0" borderId="0" xfId="10" applyNumberFormat="1" applyFont="1" applyBorder="1" applyAlignment="1">
      <alignment horizontal="right" wrapText="1"/>
    </xf>
    <xf numFmtId="164" fontId="63" fillId="0" borderId="0" xfId="10" applyNumberFormat="1" applyFont="1" applyFill="1" applyBorder="1" applyAlignment="1">
      <alignment horizontal="right"/>
    </xf>
    <xf numFmtId="169" fontId="63" fillId="0" borderId="0" xfId="0" applyNumberFormat="1" applyFont="1" applyAlignment="1">
      <alignment horizontal="right" wrapText="1"/>
    </xf>
    <xf numFmtId="4" fontId="63" fillId="0" borderId="0" xfId="0" applyNumberFormat="1" applyFont="1" applyAlignment="1">
      <alignment horizontal="right" wrapText="1"/>
    </xf>
    <xf numFmtId="169" fontId="51" fillId="0" borderId="0" xfId="0" applyNumberFormat="1" applyFont="1" applyAlignment="1">
      <alignment horizontal="right" wrapText="1"/>
    </xf>
    <xf numFmtId="0" fontId="71" fillId="0" borderId="0" xfId="0" applyFont="1" applyAlignment="1">
      <alignment horizontal="left" indent="2"/>
    </xf>
    <xf numFmtId="0" fontId="63" fillId="0" borderId="0" xfId="0" applyFont="1" applyAlignment="1">
      <alignment horizontal="left" indent="3"/>
    </xf>
    <xf numFmtId="9" fontId="63" fillId="0" borderId="0" xfId="2" applyFont="1" applyBorder="1" applyAlignment="1">
      <alignment horizontal="right"/>
    </xf>
    <xf numFmtId="9" fontId="63" fillId="0" borderId="0" xfId="2" applyFont="1" applyFill="1" applyBorder="1" applyAlignment="1">
      <alignment horizontal="right"/>
    </xf>
    <xf numFmtId="177" fontId="63" fillId="0" borderId="0" xfId="1" applyNumberFormat="1" applyFont="1" applyBorder="1" applyAlignment="1">
      <alignment horizontal="right"/>
    </xf>
    <xf numFmtId="177" fontId="38" fillId="0" borderId="0" xfId="0" applyNumberFormat="1" applyFont="1" applyAlignment="1">
      <alignment horizontal="right"/>
    </xf>
    <xf numFmtId="0" fontId="63" fillId="0" borderId="0" xfId="0" applyFont="1" applyAlignment="1">
      <alignment horizontal="left" vertical="center" wrapText="1" indent="5"/>
    </xf>
    <xf numFmtId="166" fontId="63" fillId="0" borderId="0" xfId="2" applyNumberFormat="1" applyFont="1" applyFill="1" applyBorder="1" applyAlignment="1">
      <alignment horizontal="right" wrapText="1"/>
    </xf>
    <xf numFmtId="176" fontId="38" fillId="0" borderId="0" xfId="10" applyNumberFormat="1" applyFont="1" applyFill="1" applyBorder="1" applyAlignment="1">
      <alignment horizontal="right" wrapText="1"/>
    </xf>
    <xf numFmtId="166" fontId="38" fillId="0" borderId="0" xfId="2" applyNumberFormat="1" applyFont="1" applyFill="1" applyBorder="1" applyAlignment="1">
      <alignment horizontal="right" wrapText="1"/>
    </xf>
    <xf numFmtId="166" fontId="44" fillId="0" borderId="0" xfId="2" applyNumberFormat="1" applyFont="1" applyFill="1" applyBorder="1" applyAlignment="1">
      <alignment horizontal="right" wrapText="1"/>
    </xf>
    <xf numFmtId="168" fontId="63" fillId="0" borderId="0" xfId="10" applyNumberFormat="1" applyFont="1" applyBorder="1" applyAlignment="1">
      <alignment horizontal="right"/>
    </xf>
    <xf numFmtId="168" fontId="38" fillId="0" borderId="0" xfId="10" applyNumberFormat="1" applyFont="1" applyFill="1" applyBorder="1" applyAlignment="1">
      <alignment horizontal="right" wrapText="1"/>
    </xf>
    <xf numFmtId="166" fontId="69" fillId="0" borderId="0" xfId="2" applyNumberFormat="1" applyFont="1" applyFill="1" applyBorder="1" applyAlignment="1">
      <alignment horizontal="right" wrapText="1"/>
    </xf>
    <xf numFmtId="0" fontId="63" fillId="0" borderId="0" xfId="0" applyFont="1" applyAlignment="1">
      <alignment horizontal="left" indent="4"/>
    </xf>
    <xf numFmtId="44" fontId="38" fillId="0" borderId="0" xfId="10" applyFont="1" applyFill="1" applyBorder="1" applyAlignment="1">
      <alignment horizontal="right" wrapText="1"/>
    </xf>
    <xf numFmtId="9" fontId="69" fillId="0" borderId="0" xfId="0" applyNumberFormat="1" applyFont="1" applyAlignment="1">
      <alignment horizontal="right"/>
    </xf>
    <xf numFmtId="9" fontId="69" fillId="0" borderId="0" xfId="2" applyFont="1" applyFill="1" applyBorder="1" applyAlignment="1">
      <alignment horizontal="right"/>
    </xf>
    <xf numFmtId="9" fontId="38" fillId="0" borderId="0" xfId="0" applyNumberFormat="1" applyFont="1" applyAlignment="1">
      <alignment horizontal="right"/>
    </xf>
    <xf numFmtId="164" fontId="63" fillId="0" borderId="0" xfId="2" applyNumberFormat="1" applyFont="1" applyBorder="1"/>
    <xf numFmtId="164" fontId="63" fillId="0" borderId="0" xfId="2" applyNumberFormat="1" applyFont="1" applyBorder="1" applyAlignment="1">
      <alignment horizontal="right"/>
    </xf>
    <xf numFmtId="164" fontId="63" fillId="0" borderId="0" xfId="2" applyNumberFormat="1" applyFont="1" applyFill="1" applyBorder="1" applyAlignment="1">
      <alignment horizontal="right"/>
    </xf>
    <xf numFmtId="164" fontId="38" fillId="0" borderId="0" xfId="2" applyNumberFormat="1" applyFont="1" applyFill="1" applyBorder="1" applyAlignment="1">
      <alignment horizontal="right"/>
    </xf>
    <xf numFmtId="0" fontId="38" fillId="0" borderId="0" xfId="0" applyFont="1" applyAlignment="1">
      <alignment horizontal="right"/>
    </xf>
    <xf numFmtId="0" fontId="51" fillId="0" borderId="0" xfId="0" applyFont="1" applyAlignment="1">
      <alignment horizontal="right"/>
    </xf>
    <xf numFmtId="177" fontId="38" fillId="0" borderId="0" xfId="1" applyNumberFormat="1" applyFont="1" applyFill="1" applyBorder="1" applyAlignment="1">
      <alignment horizontal="right" wrapText="1"/>
    </xf>
    <xf numFmtId="168" fontId="38" fillId="0" borderId="0" xfId="0" applyNumberFormat="1" applyFont="1" applyAlignment="1">
      <alignment horizontal="right"/>
    </xf>
    <xf numFmtId="9" fontId="63" fillId="0" borderId="0" xfId="0" applyNumberFormat="1" applyFont="1"/>
    <xf numFmtId="9" fontId="63" fillId="0" borderId="0" xfId="0" applyNumberFormat="1" applyFont="1" applyAlignment="1">
      <alignment horizontal="right"/>
    </xf>
    <xf numFmtId="0" fontId="71" fillId="0" borderId="0" xfId="0" applyFont="1" applyAlignment="1">
      <alignment horizontal="left" indent="1"/>
    </xf>
    <xf numFmtId="9" fontId="69" fillId="0" borderId="0" xfId="2" applyFont="1" applyBorder="1" applyAlignment="1">
      <alignment horizontal="right"/>
    </xf>
    <xf numFmtId="177" fontId="72" fillId="0" borderId="0" xfId="0" applyNumberFormat="1" applyFont="1" applyAlignment="1">
      <alignment horizontal="right"/>
    </xf>
    <xf numFmtId="164" fontId="71" fillId="0" borderId="0" xfId="0" applyNumberFormat="1" applyFont="1" applyAlignment="1">
      <alignment horizontal="right"/>
    </xf>
    <xf numFmtId="9" fontId="72" fillId="0" borderId="0" xfId="2" applyFont="1" applyBorder="1" applyAlignment="1">
      <alignment horizontal="right"/>
    </xf>
    <xf numFmtId="164" fontId="63" fillId="0" borderId="0" xfId="10" applyNumberFormat="1" applyFont="1" applyBorder="1" applyAlignment="1">
      <alignment horizontal="right"/>
    </xf>
    <xf numFmtId="166" fontId="17" fillId="0" borderId="0" xfId="2" applyNumberFormat="1" applyFont="1" applyFill="1" applyBorder="1"/>
    <xf numFmtId="43" fontId="17" fillId="0" borderId="0" xfId="1" applyFont="1" applyFill="1" applyBorder="1"/>
    <xf numFmtId="166" fontId="17" fillId="0" borderId="9" xfId="2" applyNumberFormat="1" applyFont="1" applyFill="1" applyBorder="1" applyAlignment="1">
      <alignment horizontal="right" vertical="center" wrapText="1"/>
    </xf>
    <xf numFmtId="9" fontId="17" fillId="0" borderId="12" xfId="2" applyFont="1" applyFill="1" applyBorder="1" applyAlignment="1">
      <alignment horizontal="right" vertical="center" wrapText="1"/>
    </xf>
    <xf numFmtId="9" fontId="17" fillId="0" borderId="36" xfId="2" applyFont="1" applyFill="1" applyBorder="1" applyAlignment="1">
      <alignment horizontal="right" vertical="center" wrapText="1"/>
    </xf>
    <xf numFmtId="9" fontId="17" fillId="0" borderId="14" xfId="2" applyFont="1" applyFill="1" applyBorder="1" applyAlignment="1">
      <alignment horizontal="right" vertical="center" wrapText="1"/>
    </xf>
    <xf numFmtId="170" fontId="17" fillId="0" borderId="0" xfId="1" applyNumberFormat="1" applyFont="1" applyFill="1" applyBorder="1" applyAlignment="1">
      <alignment horizontal="left" vertical="center" wrapText="1"/>
    </xf>
    <xf numFmtId="170" fontId="17" fillId="0" borderId="9" xfId="1" applyNumberFormat="1" applyFont="1" applyFill="1" applyBorder="1" applyAlignment="1">
      <alignment horizontal="left" vertical="center" wrapText="1"/>
    </xf>
    <xf numFmtId="170" fontId="17" fillId="0" borderId="11" xfId="1" applyNumberFormat="1" applyFont="1" applyFill="1" applyBorder="1" applyAlignment="1">
      <alignment horizontal="right" vertical="center" wrapText="1"/>
    </xf>
    <xf numFmtId="170" fontId="17" fillId="0" borderId="12" xfId="1" applyNumberFormat="1" applyFont="1" applyFill="1" applyBorder="1" applyAlignment="1">
      <alignment horizontal="right" vertical="center" wrapText="1"/>
    </xf>
    <xf numFmtId="170" fontId="17" fillId="0" borderId="13" xfId="1" applyNumberFormat="1" applyFont="1" applyFill="1" applyBorder="1" applyAlignment="1">
      <alignment horizontal="right" vertical="center" wrapText="1"/>
    </xf>
    <xf numFmtId="170" fontId="17" fillId="0" borderId="14" xfId="1" applyNumberFormat="1" applyFont="1" applyFill="1" applyBorder="1" applyAlignment="1">
      <alignment horizontal="right" vertical="center" wrapText="1"/>
    </xf>
    <xf numFmtId="164" fontId="17" fillId="0" borderId="13" xfId="1" applyNumberFormat="1" applyFont="1" applyFill="1" applyBorder="1" applyAlignment="1">
      <alignment horizontal="left" vertical="center" wrapText="1"/>
    </xf>
    <xf numFmtId="164" fontId="13" fillId="0" borderId="0" xfId="1" applyNumberFormat="1" applyFont="1" applyFill="1" applyBorder="1" applyAlignment="1">
      <alignment horizontal="left" vertical="center" wrapText="1"/>
    </xf>
    <xf numFmtId="164" fontId="13" fillId="0" borderId="9" xfId="1" applyNumberFormat="1" applyFont="1" applyFill="1" applyBorder="1" applyAlignment="1">
      <alignment horizontal="left" vertical="center" wrapText="1"/>
    </xf>
    <xf numFmtId="164" fontId="17" fillId="0" borderId="11" xfId="1" applyNumberFormat="1" applyFont="1" applyFill="1" applyBorder="1" applyAlignment="1">
      <alignment horizontal="right" vertical="center" wrapText="1"/>
    </xf>
    <xf numFmtId="164" fontId="17" fillId="0" borderId="12" xfId="1" applyNumberFormat="1" applyFont="1" applyFill="1" applyBorder="1" applyAlignment="1">
      <alignment horizontal="right" vertical="center" wrapText="1"/>
    </xf>
    <xf numFmtId="164" fontId="17" fillId="0" borderId="13" xfId="1" applyNumberFormat="1" applyFont="1" applyFill="1" applyBorder="1" applyAlignment="1">
      <alignment horizontal="right" vertical="center" wrapText="1"/>
    </xf>
    <xf numFmtId="164" fontId="17" fillId="0" borderId="14" xfId="1" applyNumberFormat="1" applyFont="1" applyFill="1" applyBorder="1" applyAlignment="1">
      <alignment horizontal="right" vertical="center" wrapText="1"/>
    </xf>
    <xf numFmtId="164" fontId="17" fillId="0" borderId="0" xfId="1" applyNumberFormat="1" applyFont="1" applyFill="1" applyBorder="1"/>
    <xf numFmtId="164" fontId="17" fillId="0" borderId="20" xfId="1" applyNumberFormat="1" applyFont="1" applyFill="1" applyBorder="1" applyAlignment="1">
      <alignment horizontal="left" vertical="center" wrapText="1"/>
    </xf>
    <xf numFmtId="164" fontId="17" fillId="0" borderId="21" xfId="1" applyNumberFormat="1" applyFont="1" applyFill="1" applyBorder="1" applyAlignment="1">
      <alignment horizontal="right" vertical="center" wrapText="1"/>
    </xf>
    <xf numFmtId="164" fontId="17" fillId="0" borderId="19" xfId="1" applyNumberFormat="1" applyFont="1" applyFill="1" applyBorder="1" applyAlignment="1">
      <alignment horizontal="right" vertical="center" wrapText="1"/>
    </xf>
    <xf numFmtId="164" fontId="17" fillId="0" borderId="20" xfId="1" applyNumberFormat="1" applyFont="1" applyFill="1" applyBorder="1" applyAlignment="1">
      <alignment horizontal="right" vertical="center" wrapText="1"/>
    </xf>
    <xf numFmtId="164" fontId="17" fillId="0" borderId="22" xfId="1" applyNumberFormat="1" applyFont="1" applyFill="1" applyBorder="1" applyAlignment="1">
      <alignment horizontal="right" vertical="center" wrapText="1"/>
    </xf>
    <xf numFmtId="164" fontId="13" fillId="0" borderId="29" xfId="1" applyNumberFormat="1" applyFont="1" applyFill="1" applyBorder="1" applyAlignment="1">
      <alignment horizontal="left" vertical="center" wrapText="1"/>
    </xf>
    <xf numFmtId="164" fontId="13" fillId="0" borderId="35" xfId="1" applyNumberFormat="1" applyFont="1" applyFill="1" applyBorder="1" applyAlignment="1">
      <alignment horizontal="left" vertical="center" wrapText="1"/>
    </xf>
    <xf numFmtId="164" fontId="13" fillId="0" borderId="44" xfId="1" applyNumberFormat="1" applyFont="1" applyFill="1" applyBorder="1" applyAlignment="1">
      <alignment horizontal="left" vertical="center" wrapText="1"/>
    </xf>
    <xf numFmtId="9" fontId="17" fillId="0" borderId="9" xfId="2" applyFont="1" applyFill="1" applyBorder="1" applyAlignment="1">
      <alignment horizontal="right" vertical="center" wrapText="1"/>
    </xf>
    <xf numFmtId="9" fontId="17" fillId="0" borderId="10" xfId="2" applyFont="1" applyFill="1" applyBorder="1" applyAlignment="1">
      <alignment horizontal="right" vertical="center" wrapText="1"/>
    </xf>
    <xf numFmtId="164" fontId="17" fillId="0" borderId="0" xfId="10" applyNumberFormat="1" applyFont="1" applyFill="1" applyBorder="1" applyAlignment="1">
      <alignment horizontal="left" indent="1"/>
    </xf>
    <xf numFmtId="164" fontId="17" fillId="0" borderId="0" xfId="10" applyNumberFormat="1" applyFont="1" applyFill="1" applyBorder="1"/>
    <xf numFmtId="164" fontId="17" fillId="0" borderId="9" xfId="10" applyNumberFormat="1" applyFont="1" applyFill="1" applyBorder="1"/>
    <xf numFmtId="164" fontId="17" fillId="0" borderId="10" xfId="10" applyNumberFormat="1" applyFont="1" applyFill="1" applyBorder="1"/>
    <xf numFmtId="164" fontId="17" fillId="0" borderId="12" xfId="10" applyNumberFormat="1" applyFont="1" applyFill="1" applyBorder="1" applyAlignment="1">
      <alignment horizontal="right" vertical="center" wrapText="1"/>
    </xf>
    <xf numFmtId="164" fontId="17" fillId="0" borderId="13" xfId="10" applyNumberFormat="1" applyFont="1" applyFill="1" applyBorder="1" applyAlignment="1">
      <alignment horizontal="right" vertical="center" wrapText="1"/>
    </xf>
    <xf numFmtId="164" fontId="17" fillId="0" borderId="11" xfId="10" applyNumberFormat="1" applyFont="1" applyFill="1" applyBorder="1" applyAlignment="1">
      <alignment horizontal="right" vertical="center" wrapText="1"/>
    </xf>
    <xf numFmtId="164" fontId="17" fillId="0" borderId="14" xfId="10" applyNumberFormat="1" applyFont="1" applyFill="1" applyBorder="1" applyAlignment="1">
      <alignment horizontal="right" vertical="center" wrapText="1"/>
    </xf>
    <xf numFmtId="9" fontId="17" fillId="0" borderId="10" xfId="2" applyFont="1" applyFill="1" applyBorder="1"/>
    <xf numFmtId="9" fontId="17" fillId="0" borderId="9" xfId="2" applyFont="1" applyFill="1" applyBorder="1"/>
    <xf numFmtId="164" fontId="17" fillId="0" borderId="9" xfId="2" applyNumberFormat="1" applyFont="1" applyFill="1" applyBorder="1"/>
    <xf numFmtId="9" fontId="17" fillId="0" borderId="15" xfId="2" applyFont="1" applyFill="1" applyBorder="1"/>
    <xf numFmtId="166" fontId="17" fillId="0" borderId="9" xfId="2" applyNumberFormat="1" applyFont="1" applyFill="1" applyBorder="1"/>
    <xf numFmtId="9" fontId="69" fillId="0" borderId="0" xfId="2" applyFont="1" applyFill="1" applyAlignment="1">
      <alignment horizontal="right" vertical="center" wrapText="1"/>
    </xf>
    <xf numFmtId="9" fontId="44" fillId="0" borderId="0" xfId="2" applyFont="1" applyFill="1"/>
    <xf numFmtId="166" fontId="38" fillId="0" borderId="0" xfId="2" applyNumberFormat="1" applyFont="1" applyFill="1" applyAlignment="1">
      <alignment horizontal="right"/>
    </xf>
    <xf numFmtId="164" fontId="68" fillId="0" borderId="0" xfId="2" applyNumberFormat="1" applyFont="1" applyFill="1"/>
    <xf numFmtId="164" fontId="69" fillId="0" borderId="0" xfId="5" applyNumberFormat="1" applyFont="1" applyFill="1" applyBorder="1" applyAlignment="1">
      <alignment horizontal="right"/>
    </xf>
    <xf numFmtId="0" fontId="38" fillId="3" borderId="0" xfId="5" applyFont="1" applyFill="1" applyBorder="1"/>
    <xf numFmtId="43" fontId="38" fillId="0" borderId="0" xfId="1" applyFont="1" applyFill="1" applyBorder="1" applyAlignment="1">
      <alignment horizontal="right"/>
    </xf>
    <xf numFmtId="0" fontId="0" fillId="0" borderId="0" xfId="0" applyAlignment="1">
      <alignment wrapText="1"/>
    </xf>
    <xf numFmtId="0" fontId="12" fillId="0" borderId="0" xfId="0" applyFont="1" applyAlignment="1">
      <alignment horizontal="right"/>
    </xf>
    <xf numFmtId="0" fontId="65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4" fillId="0" borderId="0" xfId="0" applyFont="1" applyAlignment="1">
      <alignment wrapText="1"/>
    </xf>
    <xf numFmtId="0" fontId="11" fillId="0" borderId="0" xfId="0" applyFont="1" applyAlignment="1">
      <alignment horizontal="right"/>
    </xf>
    <xf numFmtId="0" fontId="21" fillId="0" borderId="3" xfId="0" applyFont="1" applyBorder="1" applyAlignment="1">
      <alignment vertical="center" wrapText="1"/>
    </xf>
    <xf numFmtId="0" fontId="65" fillId="0" borderId="3" xfId="0" applyFont="1" applyBorder="1" applyAlignment="1">
      <alignment horizontal="center" vertical="center"/>
    </xf>
    <xf numFmtId="0" fontId="21" fillId="9" borderId="3" xfId="0" applyFont="1" applyFill="1" applyBorder="1" applyAlignment="1">
      <alignment horizontal="center" vertical="center" wrapText="1"/>
    </xf>
    <xf numFmtId="0" fontId="21" fillId="10" borderId="3" xfId="0" applyFont="1" applyFill="1" applyBorder="1" applyAlignment="1">
      <alignment horizontal="center" vertical="center" wrapText="1"/>
    </xf>
    <xf numFmtId="0" fontId="21" fillId="11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vertical="center"/>
    </xf>
    <xf numFmtId="0" fontId="30" fillId="0" borderId="0" xfId="0" applyFont="1" applyAlignment="1">
      <alignment wrapText="1"/>
    </xf>
    <xf numFmtId="168" fontId="0" fillId="9" borderId="0" xfId="0" applyNumberFormat="1" applyFill="1"/>
    <xf numFmtId="168" fontId="0" fillId="10" borderId="0" xfId="0" applyNumberFormat="1" applyFill="1"/>
    <xf numFmtId="168" fontId="0" fillId="11" borderId="0" xfId="0" applyNumberFormat="1" applyFill="1"/>
    <xf numFmtId="0" fontId="75" fillId="0" borderId="0" xfId="0" applyFont="1" applyAlignment="1">
      <alignment wrapText="1"/>
    </xf>
    <xf numFmtId="173" fontId="0" fillId="9" borderId="0" xfId="0" applyNumberFormat="1" applyFill="1"/>
    <xf numFmtId="173" fontId="0" fillId="10" borderId="0" xfId="0" applyNumberFormat="1" applyFill="1"/>
    <xf numFmtId="173" fontId="0" fillId="11" borderId="0" xfId="0" applyNumberFormat="1" applyFill="1"/>
    <xf numFmtId="173" fontId="0" fillId="0" borderId="0" xfId="0" applyNumberFormat="1" applyAlignment="1">
      <alignment horizontal="right"/>
    </xf>
    <xf numFmtId="173" fontId="0" fillId="9" borderId="0" xfId="0" applyNumberFormat="1" applyFill="1" applyAlignment="1">
      <alignment horizontal="right"/>
    </xf>
    <xf numFmtId="173" fontId="0" fillId="10" borderId="0" xfId="0" applyNumberFormat="1" applyFill="1" applyAlignment="1">
      <alignment horizontal="right"/>
    </xf>
    <xf numFmtId="173" fontId="0" fillId="11" borderId="0" xfId="0" applyNumberFormat="1" applyFill="1" applyAlignment="1">
      <alignment horizontal="right"/>
    </xf>
    <xf numFmtId="166" fontId="0" fillId="0" borderId="0" xfId="0" applyNumberFormat="1"/>
    <xf numFmtId="166" fontId="0" fillId="9" borderId="0" xfId="0" applyNumberFormat="1" applyFill="1"/>
    <xf numFmtId="166" fontId="0" fillId="10" borderId="0" xfId="0" applyNumberFormat="1" applyFill="1"/>
    <xf numFmtId="166" fontId="0" fillId="11" borderId="0" xfId="0" applyNumberForma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2" fontId="0" fillId="0" borderId="0" xfId="0" applyNumberFormat="1"/>
    <xf numFmtId="2" fontId="0" fillId="9" borderId="0" xfId="0" applyNumberFormat="1" applyFill="1"/>
    <xf numFmtId="2" fontId="0" fillId="10" borderId="0" xfId="0" applyNumberFormat="1" applyFill="1"/>
    <xf numFmtId="2" fontId="0" fillId="11" borderId="0" xfId="0" applyNumberFormat="1" applyFill="1"/>
    <xf numFmtId="168" fontId="76" fillId="6" borderId="0" xfId="0" applyNumberFormat="1" applyFont="1" applyFill="1"/>
    <xf numFmtId="173" fontId="76" fillId="6" borderId="0" xfId="0" applyNumberFormat="1" applyFont="1" applyFill="1"/>
    <xf numFmtId="166" fontId="76" fillId="6" borderId="0" xfId="0" applyNumberFormat="1" applyFont="1" applyFill="1"/>
    <xf numFmtId="9" fontId="0" fillId="9" borderId="0" xfId="0" applyNumberFormat="1" applyFill="1"/>
    <xf numFmtId="9" fontId="0" fillId="10" borderId="0" xfId="0" applyNumberFormat="1" applyFill="1"/>
    <xf numFmtId="9" fontId="0" fillId="11" borderId="0" xfId="0" applyNumberFormat="1" applyFill="1"/>
    <xf numFmtId="3" fontId="0" fillId="0" borderId="0" xfId="0" applyNumberFormat="1"/>
    <xf numFmtId="14" fontId="38" fillId="0" borderId="0" xfId="5" applyNumberFormat="1" applyFont="1" applyFill="1" applyBorder="1" applyAlignment="1">
      <alignment horizontal="right"/>
    </xf>
    <xf numFmtId="0" fontId="38" fillId="0" borderId="0" xfId="5" applyNumberFormat="1" applyFont="1" applyFill="1" applyBorder="1" applyAlignment="1">
      <alignment horizontal="right"/>
    </xf>
    <xf numFmtId="49" fontId="38" fillId="0" borderId="0" xfId="5" applyNumberFormat="1" applyFont="1" applyFill="1" applyBorder="1" applyAlignment="1">
      <alignment horizontal="left" indent="2"/>
    </xf>
    <xf numFmtId="9" fontId="38" fillId="0" borderId="0" xfId="5" applyNumberFormat="1" applyFont="1" applyFill="1" applyBorder="1" applyAlignment="1">
      <alignment horizontal="right"/>
    </xf>
    <xf numFmtId="9" fontId="69" fillId="0" borderId="0" xfId="5" applyNumberFormat="1" applyFont="1" applyFill="1" applyBorder="1" applyAlignment="1">
      <alignment horizontal="right"/>
    </xf>
    <xf numFmtId="166" fontId="69" fillId="0" borderId="0" xfId="2" applyNumberFormat="1" applyFont="1" applyFill="1" applyBorder="1" applyAlignment="1">
      <alignment horizontal="right"/>
    </xf>
    <xf numFmtId="0" fontId="63" fillId="0" borderId="0" xfId="0" applyFont="1" applyAlignment="1">
      <alignment horizontal="left" vertical="center" wrapText="1" indent="1"/>
    </xf>
    <xf numFmtId="2" fontId="1" fillId="0" borderId="0" xfId="2" applyNumberFormat="1" applyFont="1" applyFill="1" applyAlignment="1">
      <alignment horizontal="right"/>
    </xf>
    <xf numFmtId="2" fontId="38" fillId="0" borderId="0" xfId="5" applyNumberFormat="1" applyFont="1" applyFill="1" applyBorder="1" applyAlignment="1">
      <alignment horizontal="right"/>
    </xf>
    <xf numFmtId="166" fontId="44" fillId="0" borderId="0" xfId="2" applyNumberFormat="1" applyFont="1" applyFill="1" applyAlignment="1">
      <alignment horizontal="right" vertical="center" wrapText="1"/>
    </xf>
    <xf numFmtId="166" fontId="44" fillId="0" borderId="0" xfId="2" applyNumberFormat="1" applyFont="1" applyFill="1"/>
    <xf numFmtId="166" fontId="38" fillId="0" borderId="0" xfId="2" applyNumberFormat="1" applyFont="1"/>
    <xf numFmtId="4" fontId="78" fillId="0" borderId="0" xfId="0" applyNumberFormat="1" applyFont="1" applyAlignment="1">
      <alignment horizontal="right" vertical="center" wrapText="1"/>
    </xf>
    <xf numFmtId="164" fontId="45" fillId="0" borderId="0" xfId="8" applyNumberFormat="1" applyFont="1" applyFill="1" applyBorder="1" applyAlignment="1">
      <alignment horizontal="right"/>
    </xf>
    <xf numFmtId="170" fontId="45" fillId="0" borderId="0" xfId="1" applyNumberFormat="1" applyFont="1" applyFill="1" applyBorder="1" applyAlignment="1">
      <alignment horizontal="right"/>
    </xf>
    <xf numFmtId="169" fontId="45" fillId="0" borderId="0" xfId="8" applyNumberFormat="1" applyFont="1" applyFill="1" applyBorder="1" applyAlignment="1">
      <alignment horizontal="right"/>
    </xf>
    <xf numFmtId="164" fontId="63" fillId="0" borderId="0" xfId="0" applyNumberFormat="1" applyFont="1" applyAlignment="1">
      <alignment horizontal="left" vertical="center" wrapText="1" indent="1"/>
    </xf>
    <xf numFmtId="164" fontId="38" fillId="0" borderId="0" xfId="5" applyNumberFormat="1" applyFont="1" applyFill="1" applyBorder="1" applyAlignment="1">
      <alignment horizontal="left" indent="1"/>
    </xf>
    <xf numFmtId="164" fontId="38" fillId="7" borderId="0" xfId="0" applyNumberFormat="1" applyFont="1" applyFill="1" applyAlignment="1">
      <alignment horizontal="right" vertical="center" wrapText="1"/>
    </xf>
    <xf numFmtId="164" fontId="38" fillId="7" borderId="0" xfId="2" applyNumberFormat="1" applyFont="1" applyFill="1" applyAlignment="1">
      <alignment horizontal="right" vertical="center" wrapText="1"/>
    </xf>
    <xf numFmtId="166" fontId="38" fillId="7" borderId="0" xfId="2" applyNumberFormat="1" applyFont="1" applyFill="1" applyAlignment="1">
      <alignment horizontal="right" vertical="center" wrapText="1"/>
    </xf>
    <xf numFmtId="0" fontId="17" fillId="0" borderId="8" xfId="0" applyFont="1" applyBorder="1"/>
    <xf numFmtId="0" fontId="17" fillId="0" borderId="18" xfId="0" applyFont="1" applyBorder="1"/>
    <xf numFmtId="0" fontId="17" fillId="0" borderId="17" xfId="0" applyFont="1" applyBorder="1"/>
    <xf numFmtId="167" fontId="17" fillId="0" borderId="0" xfId="0" applyNumberFormat="1" applyFont="1"/>
    <xf numFmtId="0" fontId="13" fillId="0" borderId="0" xfId="0" applyFont="1"/>
    <xf numFmtId="0" fontId="13" fillId="0" borderId="9" xfId="0" applyFont="1" applyBorder="1"/>
    <xf numFmtId="0" fontId="17" fillId="0" borderId="10" xfId="0" applyFont="1" applyBorder="1"/>
    <xf numFmtId="0" fontId="17" fillId="0" borderId="9" xfId="0" applyFont="1" applyBorder="1"/>
    <xf numFmtId="168" fontId="13" fillId="0" borderId="0" xfId="0" applyNumberFormat="1" applyFont="1"/>
    <xf numFmtId="0" fontId="13" fillId="0" borderId="0" xfId="0" applyFont="1" applyAlignment="1">
      <alignment wrapText="1"/>
    </xf>
    <xf numFmtId="0" fontId="13" fillId="0" borderId="9" xfId="0" applyFont="1" applyBorder="1" applyAlignment="1">
      <alignment wrapText="1"/>
    </xf>
    <xf numFmtId="43" fontId="17" fillId="0" borderId="0" xfId="0" applyNumberFormat="1" applyFont="1"/>
    <xf numFmtId="14" fontId="17" fillId="0" borderId="0" xfId="0" applyNumberFormat="1" applyFont="1"/>
    <xf numFmtId="0" fontId="17" fillId="0" borderId="4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17" fillId="0" borderId="6" xfId="0" applyFont="1" applyBorder="1" applyAlignment="1">
      <alignment wrapText="1"/>
    </xf>
    <xf numFmtId="0" fontId="13" fillId="0" borderId="4" xfId="0" applyFont="1" applyBorder="1" applyAlignment="1">
      <alignment horizontal="right"/>
    </xf>
    <xf numFmtId="0" fontId="13" fillId="0" borderId="5" xfId="0" applyFont="1" applyBorder="1" applyAlignment="1">
      <alignment horizontal="right"/>
    </xf>
    <xf numFmtId="0" fontId="13" fillId="0" borderId="7" xfId="0" applyFont="1" applyBorder="1" applyAlignment="1">
      <alignment horizontal="right"/>
    </xf>
    <xf numFmtId="0" fontId="13" fillId="0" borderId="6" xfId="0" applyFont="1" applyBorder="1" applyAlignment="1">
      <alignment horizontal="right"/>
    </xf>
    <xf numFmtId="0" fontId="13" fillId="0" borderId="6" xfId="0" quotePrefix="1" applyFont="1" applyBorder="1" applyAlignment="1">
      <alignment horizontal="right"/>
    </xf>
    <xf numFmtId="0" fontId="13" fillId="0" borderId="5" xfId="0" quotePrefix="1" applyFont="1" applyBorder="1" applyAlignment="1">
      <alignment horizontal="right"/>
    </xf>
    <xf numFmtId="0" fontId="17" fillId="0" borderId="0" xfId="0" applyFont="1" applyAlignment="1">
      <alignment wrapText="1"/>
    </xf>
    <xf numFmtId="0" fontId="13" fillId="0" borderId="9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3" fillId="0" borderId="10" xfId="0" applyFont="1" applyBorder="1" applyAlignment="1">
      <alignment horizontal="right"/>
    </xf>
    <xf numFmtId="0" fontId="13" fillId="0" borderId="4" xfId="0" applyFont="1" applyBorder="1"/>
    <xf numFmtId="14" fontId="13" fillId="0" borderId="6" xfId="0" applyNumberFormat="1" applyFont="1" applyBorder="1"/>
    <xf numFmtId="14" fontId="13" fillId="0" borderId="6" xfId="0" applyNumberFormat="1" applyFont="1" applyBorder="1" applyAlignment="1">
      <alignment horizontal="right"/>
    </xf>
    <xf numFmtId="14" fontId="13" fillId="0" borderId="5" xfId="0" applyNumberFormat="1" applyFont="1" applyBorder="1"/>
    <xf numFmtId="164" fontId="17" fillId="0" borderId="13" xfId="0" applyNumberFormat="1" applyFont="1" applyBorder="1" applyAlignment="1">
      <alignment horizontal="left" vertical="center" wrapText="1"/>
    </xf>
    <xf numFmtId="164" fontId="17" fillId="0" borderId="16" xfId="0" applyNumberFormat="1" applyFont="1" applyBorder="1" applyAlignment="1">
      <alignment horizontal="left" vertical="center" wrapText="1"/>
    </xf>
    <xf numFmtId="164" fontId="17" fillId="0" borderId="12" xfId="0" applyNumberFormat="1" applyFont="1" applyBorder="1" applyAlignment="1">
      <alignment horizontal="left" vertical="center" wrapText="1"/>
    </xf>
    <xf numFmtId="164" fontId="17" fillId="0" borderId="11" xfId="0" applyNumberFormat="1" applyFont="1" applyBorder="1" applyAlignment="1">
      <alignment horizontal="right" vertical="center" wrapText="1"/>
    </xf>
    <xf numFmtId="164" fontId="17" fillId="0" borderId="12" xfId="0" applyNumberFormat="1" applyFont="1" applyBorder="1" applyAlignment="1">
      <alignment horizontal="right" vertical="center" wrapText="1"/>
    </xf>
    <xf numFmtId="164" fontId="17" fillId="0" borderId="13" xfId="0" applyNumberFormat="1" applyFont="1" applyBorder="1" applyAlignment="1">
      <alignment horizontal="right" vertical="center" wrapText="1"/>
    </xf>
    <xf numFmtId="164" fontId="17" fillId="0" borderId="14" xfId="0" applyNumberFormat="1" applyFont="1" applyBorder="1" applyAlignment="1">
      <alignment horizontal="right" vertical="center" wrapText="1"/>
    </xf>
    <xf numFmtId="164" fontId="17" fillId="0" borderId="10" xfId="0" applyNumberFormat="1" applyFont="1" applyBorder="1"/>
    <xf numFmtId="164" fontId="17" fillId="0" borderId="0" xfId="0" applyNumberFormat="1" applyFont="1"/>
    <xf numFmtId="0" fontId="17" fillId="0" borderId="13" xfId="0" applyFont="1" applyBorder="1" applyAlignment="1">
      <alignment horizontal="left" vertical="center" wrapText="1" indent="1"/>
    </xf>
    <xf numFmtId="0" fontId="17" fillId="0" borderId="13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164" fontId="17" fillId="0" borderId="19" xfId="0" applyNumberFormat="1" applyFont="1" applyBorder="1" applyAlignment="1">
      <alignment horizontal="right" vertical="center" wrapText="1"/>
    </xf>
    <xf numFmtId="164" fontId="17" fillId="0" borderId="20" xfId="0" applyNumberFormat="1" applyFont="1" applyBorder="1" applyAlignment="1">
      <alignment horizontal="right" vertical="center" wrapText="1"/>
    </xf>
    <xf numFmtId="164" fontId="17" fillId="0" borderId="21" xfId="0" applyNumberFormat="1" applyFont="1" applyBorder="1" applyAlignment="1">
      <alignment horizontal="right" vertical="center" wrapText="1"/>
    </xf>
    <xf numFmtId="164" fontId="17" fillId="0" borderId="22" xfId="0" applyNumberFormat="1" applyFont="1" applyBorder="1" applyAlignment="1">
      <alignment horizontal="right" vertical="center" wrapText="1"/>
    </xf>
    <xf numFmtId="0" fontId="17" fillId="0" borderId="12" xfId="0" applyFont="1" applyBorder="1" applyAlignment="1">
      <alignment horizontal="left" vertical="center" wrapText="1" indent="1"/>
    </xf>
    <xf numFmtId="164" fontId="17" fillId="0" borderId="0" xfId="0" applyNumberFormat="1" applyFont="1" applyAlignment="1">
      <alignment horizontal="right"/>
    </xf>
    <xf numFmtId="0" fontId="17" fillId="0" borderId="13" xfId="0" applyFont="1" applyBorder="1" applyAlignment="1">
      <alignment horizontal="left" vertical="center" wrapText="1" indent="2"/>
    </xf>
    <xf numFmtId="0" fontId="13" fillId="0" borderId="13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169" fontId="13" fillId="0" borderId="11" xfId="0" applyNumberFormat="1" applyFont="1" applyBorder="1" applyAlignment="1">
      <alignment horizontal="right" vertical="center" wrapText="1"/>
    </xf>
    <xf numFmtId="0" fontId="17" fillId="0" borderId="12" xfId="0" applyFont="1" applyBorder="1" applyAlignment="1">
      <alignment horizontal="left" vertical="center" wrapText="1" indent="2"/>
    </xf>
    <xf numFmtId="0" fontId="13" fillId="0" borderId="10" xfId="0" applyFont="1" applyBorder="1"/>
    <xf numFmtId="164" fontId="17" fillId="0" borderId="13" xfId="0" applyNumberFormat="1" applyFont="1" applyBorder="1" applyAlignment="1">
      <alignment horizontal="left" vertical="center" wrapText="1" indent="1"/>
    </xf>
    <xf numFmtId="164" fontId="17" fillId="0" borderId="23" xfId="0" applyNumberFormat="1" applyFont="1" applyBorder="1" applyAlignment="1">
      <alignment horizontal="right" vertical="center" wrapText="1"/>
    </xf>
    <xf numFmtId="164" fontId="17" fillId="0" borderId="24" xfId="0" applyNumberFormat="1" applyFont="1" applyBorder="1" applyAlignment="1">
      <alignment horizontal="right" vertical="center" wrapText="1"/>
    </xf>
    <xf numFmtId="164" fontId="17" fillId="0" borderId="25" xfId="0" applyNumberFormat="1" applyFont="1" applyBorder="1" applyAlignment="1">
      <alignment horizontal="right" vertical="center" wrapText="1"/>
    </xf>
    <xf numFmtId="164" fontId="17" fillId="0" borderId="26" xfId="0" applyNumberFormat="1" applyFont="1" applyBorder="1" applyAlignment="1">
      <alignment horizontal="right" vertical="center" wrapText="1"/>
    </xf>
    <xf numFmtId="164" fontId="17" fillId="0" borderId="25" xfId="0" applyNumberFormat="1" applyFont="1" applyBorder="1" applyAlignment="1">
      <alignment horizontal="left" vertical="center" wrapText="1"/>
    </xf>
    <xf numFmtId="164" fontId="17" fillId="0" borderId="12" xfId="0" applyNumberFormat="1" applyFont="1" applyBorder="1" applyAlignment="1">
      <alignment horizontal="left" vertical="center" wrapText="1" indent="1"/>
    </xf>
    <xf numFmtId="164" fontId="17" fillId="0" borderId="11" xfId="0" applyNumberFormat="1" applyFont="1" applyBorder="1" applyAlignment="1">
      <alignment horizontal="left" vertical="center" wrapText="1"/>
    </xf>
    <xf numFmtId="164" fontId="17" fillId="0" borderId="14" xfId="0" applyNumberFormat="1" applyFont="1" applyBorder="1" applyAlignment="1">
      <alignment horizontal="left" vertical="center" wrapText="1"/>
    </xf>
    <xf numFmtId="0" fontId="17" fillId="0" borderId="20" xfId="0" applyFont="1" applyBorder="1" applyAlignment="1">
      <alignment horizontal="left" vertical="center" wrapText="1" indent="2"/>
    </xf>
    <xf numFmtId="0" fontId="13" fillId="0" borderId="20" xfId="0" applyFont="1" applyBorder="1" applyAlignment="1">
      <alignment horizontal="left" vertical="center" wrapText="1"/>
    </xf>
    <xf numFmtId="0" fontId="13" fillId="0" borderId="27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169" fontId="13" fillId="0" borderId="21" xfId="0" applyNumberFormat="1" applyFont="1" applyBorder="1" applyAlignment="1">
      <alignment horizontal="right" vertical="center" wrapText="1"/>
    </xf>
    <xf numFmtId="0" fontId="17" fillId="0" borderId="19" xfId="0" applyFont="1" applyBorder="1" applyAlignment="1">
      <alignment horizontal="left" vertical="center" wrapText="1" indent="2"/>
    </xf>
    <xf numFmtId="164" fontId="17" fillId="0" borderId="0" xfId="0" applyNumberFormat="1" applyFont="1" applyAlignment="1">
      <alignment horizontal="left" vertical="center" wrapText="1"/>
    </xf>
    <xf numFmtId="164" fontId="17" fillId="0" borderId="9" xfId="0" applyNumberFormat="1" applyFont="1" applyBorder="1" applyAlignment="1">
      <alignment horizontal="left" vertical="center" wrapText="1"/>
    </xf>
    <xf numFmtId="164" fontId="17" fillId="0" borderId="10" xfId="0" applyNumberFormat="1" applyFont="1" applyBorder="1" applyAlignment="1">
      <alignment horizontal="right" vertical="center" wrapText="1"/>
    </xf>
    <xf numFmtId="164" fontId="17" fillId="0" borderId="9" xfId="0" applyNumberFormat="1" applyFont="1" applyBorder="1" applyAlignment="1">
      <alignment horizontal="right" vertical="center" wrapText="1"/>
    </xf>
    <xf numFmtId="164" fontId="17" fillId="0" borderId="0" xfId="0" applyNumberFormat="1" applyFont="1" applyAlignment="1">
      <alignment horizontal="right" vertical="center" wrapText="1"/>
    </xf>
    <xf numFmtId="0" fontId="17" fillId="0" borderId="24" xfId="0" applyFont="1" applyBorder="1" applyAlignment="1">
      <alignment horizontal="left" vertical="center" wrapText="1" indent="1"/>
    </xf>
    <xf numFmtId="0" fontId="13" fillId="0" borderId="24" xfId="0" applyFont="1" applyBorder="1" applyAlignment="1">
      <alignment horizontal="left" vertical="center" wrapText="1"/>
    </xf>
    <xf numFmtId="0" fontId="13" fillId="0" borderId="28" xfId="0" applyFont="1" applyBorder="1" applyAlignment="1">
      <alignment horizontal="left" vertical="center" wrapText="1"/>
    </xf>
    <xf numFmtId="0" fontId="13" fillId="0" borderId="23" xfId="0" applyFont="1" applyBorder="1" applyAlignment="1">
      <alignment horizontal="left" vertical="center" wrapText="1"/>
    </xf>
    <xf numFmtId="169" fontId="13" fillId="0" borderId="25" xfId="0" applyNumberFormat="1" applyFont="1" applyBorder="1" applyAlignment="1">
      <alignment horizontal="right" vertical="center" wrapText="1"/>
    </xf>
    <xf numFmtId="0" fontId="17" fillId="0" borderId="23" xfId="0" applyFont="1" applyBorder="1" applyAlignment="1">
      <alignment horizontal="left" vertical="center" wrapText="1" indent="1"/>
    </xf>
    <xf numFmtId="0" fontId="17" fillId="0" borderId="20" xfId="0" applyFont="1" applyBorder="1" applyAlignment="1">
      <alignment horizontal="left" vertical="center" wrapText="1"/>
    </xf>
    <xf numFmtId="0" fontId="17" fillId="0" borderId="27" xfId="0" applyFont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29" xfId="0" applyFont="1" applyBorder="1" applyAlignment="1">
      <alignment horizontal="left" vertical="center" wrapText="1"/>
    </xf>
    <xf numFmtId="0" fontId="17" fillId="0" borderId="30" xfId="0" applyFont="1" applyBorder="1" applyAlignment="1">
      <alignment horizontal="left" vertical="center" wrapText="1"/>
    </xf>
    <xf numFmtId="0" fontId="17" fillId="0" borderId="31" xfId="0" applyFont="1" applyBorder="1" applyAlignment="1">
      <alignment horizontal="left" vertical="center" wrapText="1"/>
    </xf>
    <xf numFmtId="164" fontId="17" fillId="0" borderId="32" xfId="0" applyNumberFormat="1" applyFont="1" applyBorder="1" applyAlignment="1">
      <alignment horizontal="right" vertical="center" wrapText="1"/>
    </xf>
    <xf numFmtId="164" fontId="17" fillId="0" borderId="33" xfId="0" applyNumberFormat="1" applyFont="1" applyBorder="1" applyAlignment="1">
      <alignment horizontal="right" vertical="center" wrapText="1"/>
    </xf>
    <xf numFmtId="164" fontId="17" fillId="0" borderId="34" xfId="0" applyNumberFormat="1" applyFont="1" applyBorder="1" applyAlignment="1">
      <alignment horizontal="right" vertical="center" wrapText="1"/>
    </xf>
    <xf numFmtId="0" fontId="17" fillId="0" borderId="34" xfId="0" applyFont="1" applyBorder="1"/>
    <xf numFmtId="0" fontId="17" fillId="0" borderId="35" xfId="0" applyFont="1" applyBorder="1"/>
    <xf numFmtId="164" fontId="17" fillId="0" borderId="35" xfId="0" applyNumberFormat="1" applyFont="1" applyBorder="1"/>
    <xf numFmtId="164" fontId="17" fillId="0" borderId="36" xfId="0" applyNumberFormat="1" applyFont="1" applyBorder="1" applyAlignment="1">
      <alignment horizontal="right" vertical="center" wrapText="1"/>
    </xf>
    <xf numFmtId="164" fontId="17" fillId="0" borderId="37" xfId="0" applyNumberFormat="1" applyFont="1" applyBorder="1" applyAlignment="1">
      <alignment horizontal="right" vertical="center" wrapText="1"/>
    </xf>
    <xf numFmtId="164" fontId="17" fillId="0" borderId="9" xfId="0" applyNumberFormat="1" applyFont="1" applyBorder="1" applyAlignment="1">
      <alignment horizontal="left" vertical="center" wrapText="1" indent="1"/>
    </xf>
    <xf numFmtId="169" fontId="17" fillId="0" borderId="11" xfId="0" applyNumberFormat="1" applyFont="1" applyBorder="1" applyAlignment="1">
      <alignment horizontal="right" vertical="center" wrapText="1"/>
    </xf>
    <xf numFmtId="0" fontId="17" fillId="0" borderId="9" xfId="0" applyFont="1" applyBorder="1" applyAlignment="1">
      <alignment horizontal="left" vertical="center" wrapText="1" indent="2"/>
    </xf>
    <xf numFmtId="164" fontId="17" fillId="0" borderId="20" xfId="0" applyNumberFormat="1" applyFont="1" applyBorder="1" applyAlignment="1">
      <alignment horizontal="left" vertical="center" wrapText="1"/>
    </xf>
    <xf numFmtId="164" fontId="17" fillId="0" borderId="27" xfId="0" applyNumberFormat="1" applyFont="1" applyBorder="1" applyAlignment="1">
      <alignment horizontal="left" vertical="center" wrapText="1"/>
    </xf>
    <xf numFmtId="164" fontId="17" fillId="0" borderId="19" xfId="0" applyNumberFormat="1" applyFont="1" applyBorder="1" applyAlignment="1">
      <alignment horizontal="left" vertical="center" wrapText="1"/>
    </xf>
    <xf numFmtId="164" fontId="13" fillId="0" borderId="29" xfId="0" applyNumberFormat="1" applyFont="1" applyBorder="1" applyAlignment="1">
      <alignment horizontal="left" vertical="center" wrapText="1"/>
    </xf>
    <xf numFmtId="164" fontId="13" fillId="0" borderId="30" xfId="0" applyNumberFormat="1" applyFont="1" applyBorder="1" applyAlignment="1">
      <alignment horizontal="left" vertical="center" wrapText="1"/>
    </xf>
    <xf numFmtId="164" fontId="13" fillId="0" borderId="31" xfId="0" applyNumberFormat="1" applyFont="1" applyBorder="1" applyAlignment="1">
      <alignment horizontal="left" vertical="center" wrapText="1"/>
    </xf>
    <xf numFmtId="164" fontId="13" fillId="0" borderId="32" xfId="0" applyNumberFormat="1" applyFont="1" applyBorder="1" applyAlignment="1">
      <alignment horizontal="right" vertical="center" wrapText="1"/>
    </xf>
    <xf numFmtId="164" fontId="17" fillId="0" borderId="34" xfId="0" applyNumberFormat="1" applyFont="1" applyBorder="1"/>
    <xf numFmtId="164" fontId="17" fillId="0" borderId="38" xfId="0" applyNumberFormat="1" applyFont="1" applyBorder="1" applyAlignment="1">
      <alignment horizontal="left" vertical="center" wrapText="1"/>
    </xf>
    <xf numFmtId="164" fontId="17" fillId="0" borderId="39" xfId="0" applyNumberFormat="1" applyFont="1" applyBorder="1" applyAlignment="1">
      <alignment horizontal="left" vertical="center" wrapText="1"/>
    </xf>
    <xf numFmtId="164" fontId="17" fillId="0" borderId="40" xfId="0" applyNumberFormat="1" applyFont="1" applyBorder="1" applyAlignment="1">
      <alignment horizontal="left" vertical="center" wrapText="1"/>
    </xf>
    <xf numFmtId="164" fontId="17" fillId="0" borderId="41" xfId="0" applyNumberFormat="1" applyFont="1" applyBorder="1" applyAlignment="1">
      <alignment horizontal="right" vertical="center" wrapText="1"/>
    </xf>
    <xf numFmtId="164" fontId="17" fillId="0" borderId="40" xfId="0" applyNumberFormat="1" applyFont="1" applyBorder="1" applyAlignment="1">
      <alignment horizontal="right" vertical="center" wrapText="1"/>
    </xf>
    <xf numFmtId="164" fontId="17" fillId="0" borderId="38" xfId="0" applyNumberFormat="1" applyFont="1" applyBorder="1" applyAlignment="1">
      <alignment horizontal="right" vertical="center" wrapText="1"/>
    </xf>
    <xf numFmtId="164" fontId="17" fillId="0" borderId="42" xfId="0" applyNumberFormat="1" applyFont="1" applyBorder="1" applyAlignment="1">
      <alignment horizontal="right" vertical="center" wrapText="1"/>
    </xf>
    <xf numFmtId="164" fontId="13" fillId="0" borderId="43" xfId="0" applyNumberFormat="1" applyFont="1" applyBorder="1" applyAlignment="1">
      <alignment horizontal="left" vertical="center" wrapText="1"/>
    </xf>
    <xf numFmtId="164" fontId="13" fillId="0" borderId="33" xfId="0" applyNumberFormat="1" applyFont="1" applyBorder="1" applyAlignment="1">
      <alignment horizontal="right" vertical="center" wrapText="1"/>
    </xf>
    <xf numFmtId="164" fontId="13" fillId="0" borderId="34" xfId="0" applyNumberFormat="1" applyFont="1" applyBorder="1" applyAlignment="1">
      <alignment horizontal="right" vertical="center" wrapText="1"/>
    </xf>
    <xf numFmtId="164" fontId="17" fillId="0" borderId="43" xfId="0" applyNumberFormat="1" applyFont="1" applyBorder="1" applyAlignment="1">
      <alignment horizontal="left" vertical="center" wrapText="1"/>
    </xf>
    <xf numFmtId="164" fontId="13" fillId="0" borderId="35" xfId="0" applyNumberFormat="1" applyFont="1" applyBorder="1" applyAlignment="1">
      <alignment horizontal="left" vertical="center" wrapText="1"/>
    </xf>
    <xf numFmtId="164" fontId="13" fillId="0" borderId="44" xfId="0" applyNumberFormat="1" applyFont="1" applyBorder="1" applyAlignment="1">
      <alignment horizontal="left" vertical="center" wrapText="1"/>
    </xf>
    <xf numFmtId="164" fontId="13" fillId="0" borderId="44" xfId="0" applyNumberFormat="1" applyFont="1" applyBorder="1" applyAlignment="1">
      <alignment horizontal="right" vertical="center" wrapText="1"/>
    </xf>
    <xf numFmtId="164" fontId="13" fillId="0" borderId="35" xfId="0" applyNumberFormat="1" applyFont="1" applyBorder="1" applyAlignment="1">
      <alignment horizontal="right" vertical="center" wrapText="1"/>
    </xf>
    <xf numFmtId="164" fontId="17" fillId="0" borderId="6" xfId="0" applyNumberFormat="1" applyFont="1" applyBorder="1"/>
    <xf numFmtId="164" fontId="17" fillId="0" borderId="5" xfId="0" applyNumberFormat="1" applyFont="1" applyBorder="1"/>
    <xf numFmtId="0" fontId="7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169" fontId="13" fillId="0" borderId="10" xfId="0" applyNumberFormat="1" applyFont="1" applyBorder="1" applyAlignment="1">
      <alignment horizontal="right" vertical="center" wrapText="1"/>
    </xf>
    <xf numFmtId="169" fontId="13" fillId="0" borderId="9" xfId="0" applyNumberFormat="1" applyFont="1" applyBorder="1" applyAlignment="1">
      <alignment horizontal="right" vertical="center" wrapText="1"/>
    </xf>
    <xf numFmtId="169" fontId="13" fillId="0" borderId="0" xfId="0" applyNumberFormat="1" applyFont="1" applyAlignment="1">
      <alignment horizontal="right" vertical="center" wrapText="1"/>
    </xf>
    <xf numFmtId="164" fontId="13" fillId="0" borderId="7" xfId="0" applyNumberFormat="1" applyFont="1" applyBorder="1" applyAlignment="1">
      <alignment horizontal="left" vertical="center" wrapText="1"/>
    </xf>
    <xf numFmtId="168" fontId="13" fillId="0" borderId="0" xfId="0" applyNumberFormat="1" applyFont="1" applyAlignment="1">
      <alignment horizontal="left" vertical="center" wrapText="1"/>
    </xf>
    <xf numFmtId="168" fontId="13" fillId="0" borderId="9" xfId="0" applyNumberFormat="1" applyFont="1" applyBorder="1" applyAlignment="1">
      <alignment horizontal="left" vertical="center" wrapText="1"/>
    </xf>
    <xf numFmtId="168" fontId="13" fillId="0" borderId="10" xfId="0" applyNumberFormat="1" applyFont="1" applyBorder="1" applyAlignment="1">
      <alignment horizontal="right" vertical="center" wrapText="1"/>
    </xf>
    <xf numFmtId="168" fontId="13" fillId="0" borderId="9" xfId="0" applyNumberFormat="1" applyFont="1" applyBorder="1" applyAlignment="1">
      <alignment horizontal="right" vertical="center" wrapText="1"/>
    </xf>
    <xf numFmtId="168" fontId="13" fillId="0" borderId="0" xfId="0" applyNumberFormat="1" applyFont="1" applyAlignment="1">
      <alignment horizontal="right" vertical="center" wrapText="1"/>
    </xf>
    <xf numFmtId="168" fontId="17" fillId="0" borderId="0" xfId="0" applyNumberFormat="1" applyFont="1"/>
    <xf numFmtId="4" fontId="17" fillId="0" borderId="11" xfId="0" applyNumberFormat="1" applyFont="1" applyBorder="1" applyAlignment="1">
      <alignment horizontal="right" vertical="center" wrapText="1"/>
    </xf>
    <xf numFmtId="4" fontId="17" fillId="0" borderId="12" xfId="0" applyNumberFormat="1" applyFont="1" applyBorder="1" applyAlignment="1">
      <alignment horizontal="right" vertical="center" wrapText="1"/>
    </xf>
    <xf numFmtId="4" fontId="17" fillId="0" borderId="13" xfId="0" applyNumberFormat="1" applyFont="1" applyBorder="1" applyAlignment="1">
      <alignment horizontal="right" vertical="center" wrapText="1"/>
    </xf>
    <xf numFmtId="4" fontId="17" fillId="0" borderId="14" xfId="0" applyNumberFormat="1" applyFont="1" applyBorder="1" applyAlignment="1">
      <alignment horizontal="right" vertical="center" wrapText="1"/>
    </xf>
    <xf numFmtId="4" fontId="17" fillId="0" borderId="10" xfId="0" applyNumberFormat="1" applyFont="1" applyBorder="1" applyAlignment="1">
      <alignment horizontal="right" vertical="center" wrapText="1"/>
    </xf>
    <xf numFmtId="4" fontId="17" fillId="0" borderId="9" xfId="0" applyNumberFormat="1" applyFont="1" applyBorder="1" applyAlignment="1">
      <alignment horizontal="right" vertical="center" wrapText="1"/>
    </xf>
    <xf numFmtId="4" fontId="17" fillId="0" borderId="0" xfId="0" applyNumberFormat="1" applyFont="1" applyAlignment="1">
      <alignment horizontal="right" vertical="center" wrapText="1"/>
    </xf>
    <xf numFmtId="164" fontId="17" fillId="0" borderId="24" xfId="0" applyNumberFormat="1" applyFont="1" applyBorder="1" applyAlignment="1">
      <alignment horizontal="left" vertical="center" wrapText="1"/>
    </xf>
    <xf numFmtId="164" fontId="13" fillId="0" borderId="0" xfId="0" applyNumberFormat="1" applyFont="1" applyAlignment="1">
      <alignment horizontal="left" vertical="center" wrapText="1"/>
    </xf>
    <xf numFmtId="164" fontId="13" fillId="0" borderId="9" xfId="0" applyNumberFormat="1" applyFont="1" applyBorder="1" applyAlignment="1">
      <alignment horizontal="left" vertical="center" wrapText="1"/>
    </xf>
    <xf numFmtId="164" fontId="13" fillId="0" borderId="18" xfId="0" applyNumberFormat="1" applyFont="1" applyBorder="1"/>
    <xf numFmtId="164" fontId="13" fillId="0" borderId="0" xfId="0" applyNumberFormat="1" applyFont="1"/>
    <xf numFmtId="0" fontId="13" fillId="0" borderId="29" xfId="0" applyFont="1" applyBorder="1" applyAlignment="1">
      <alignment horizontal="left" vertical="center" wrapText="1"/>
    </xf>
    <xf numFmtId="0" fontId="13" fillId="0" borderId="35" xfId="0" applyFont="1" applyBorder="1" applyAlignment="1">
      <alignment horizontal="left" vertical="center" wrapText="1"/>
    </xf>
    <xf numFmtId="0" fontId="13" fillId="0" borderId="44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169" fontId="13" fillId="0" borderId="11" xfId="0" applyNumberFormat="1" applyFont="1" applyBorder="1" applyAlignment="1">
      <alignment horizontal="left" vertical="center" wrapText="1"/>
    </xf>
    <xf numFmtId="169" fontId="13" fillId="0" borderId="12" xfId="0" applyNumberFormat="1" applyFont="1" applyBorder="1" applyAlignment="1">
      <alignment horizontal="left" vertical="center" wrapText="1"/>
    </xf>
    <xf numFmtId="169" fontId="13" fillId="0" borderId="13" xfId="0" applyNumberFormat="1" applyFont="1" applyBorder="1" applyAlignment="1">
      <alignment horizontal="left" vertical="center" wrapText="1"/>
    </xf>
    <xf numFmtId="169" fontId="13" fillId="0" borderId="14" xfId="0" applyNumberFormat="1" applyFont="1" applyBorder="1" applyAlignment="1">
      <alignment horizontal="left" vertical="center" wrapText="1"/>
    </xf>
    <xf numFmtId="3" fontId="13" fillId="0" borderId="13" xfId="0" applyNumberFormat="1" applyFont="1" applyBorder="1" applyAlignment="1">
      <alignment horizontal="left" vertical="center" wrapText="1"/>
    </xf>
    <xf numFmtId="3" fontId="13" fillId="0" borderId="11" xfId="0" applyNumberFormat="1" applyFont="1" applyBorder="1" applyAlignment="1">
      <alignment horizontal="left" vertical="center" wrapText="1"/>
    </xf>
    <xf numFmtId="3" fontId="13" fillId="0" borderId="12" xfId="0" applyNumberFormat="1" applyFont="1" applyBorder="1" applyAlignment="1">
      <alignment horizontal="left" vertical="center" wrapText="1"/>
    </xf>
    <xf numFmtId="3" fontId="13" fillId="0" borderId="14" xfId="0" applyNumberFormat="1" applyFont="1" applyBorder="1" applyAlignment="1">
      <alignment horizontal="left" vertical="center" wrapText="1"/>
    </xf>
    <xf numFmtId="0" fontId="17" fillId="0" borderId="28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169" fontId="17" fillId="0" borderId="25" xfId="0" applyNumberFormat="1" applyFont="1" applyBorder="1" applyAlignment="1">
      <alignment horizontal="right" vertical="center" wrapText="1"/>
    </xf>
    <xf numFmtId="169" fontId="17" fillId="0" borderId="23" xfId="0" applyNumberFormat="1" applyFont="1" applyBorder="1" applyAlignment="1">
      <alignment horizontal="right" vertical="center" wrapText="1"/>
    </xf>
    <xf numFmtId="169" fontId="17" fillId="0" borderId="24" xfId="0" applyNumberFormat="1" applyFont="1" applyBorder="1" applyAlignment="1">
      <alignment horizontal="right" vertical="center" wrapText="1"/>
    </xf>
    <xf numFmtId="169" fontId="17" fillId="0" borderId="26" xfId="0" applyNumberFormat="1" applyFont="1" applyBorder="1" applyAlignment="1">
      <alignment horizontal="right" vertical="center" wrapText="1"/>
    </xf>
    <xf numFmtId="3" fontId="17" fillId="0" borderId="11" xfId="0" applyNumberFormat="1" applyFont="1" applyBorder="1" applyAlignment="1">
      <alignment horizontal="right" vertical="center" wrapText="1"/>
    </xf>
    <xf numFmtId="3" fontId="17" fillId="0" borderId="12" xfId="0" applyNumberFormat="1" applyFont="1" applyBorder="1" applyAlignment="1">
      <alignment horizontal="right" vertical="center" wrapText="1"/>
    </xf>
    <xf numFmtId="3" fontId="17" fillId="0" borderId="13" xfId="0" applyNumberFormat="1" applyFont="1" applyBorder="1" applyAlignment="1">
      <alignment horizontal="right" vertical="center" wrapText="1"/>
    </xf>
    <xf numFmtId="3" fontId="17" fillId="0" borderId="14" xfId="0" applyNumberFormat="1" applyFont="1" applyBorder="1" applyAlignment="1">
      <alignment horizontal="right" vertical="center" wrapText="1"/>
    </xf>
    <xf numFmtId="169" fontId="17" fillId="0" borderId="12" xfId="0" applyNumberFormat="1" applyFont="1" applyBorder="1" applyAlignment="1">
      <alignment horizontal="right" vertical="center" wrapText="1"/>
    </xf>
    <xf numFmtId="169" fontId="17" fillId="0" borderId="13" xfId="0" applyNumberFormat="1" applyFont="1" applyBorder="1" applyAlignment="1">
      <alignment horizontal="right" vertical="center" wrapText="1"/>
    </xf>
    <xf numFmtId="169" fontId="17" fillId="0" borderId="14" xfId="0" applyNumberFormat="1" applyFont="1" applyBorder="1" applyAlignment="1">
      <alignment horizontal="right" vertical="center" wrapText="1"/>
    </xf>
    <xf numFmtId="4" fontId="13" fillId="0" borderId="11" xfId="0" applyNumberFormat="1" applyFont="1" applyBorder="1" applyAlignment="1">
      <alignment horizontal="right" vertical="center" wrapText="1"/>
    </xf>
    <xf numFmtId="169" fontId="13" fillId="0" borderId="12" xfId="0" applyNumberFormat="1" applyFont="1" applyBorder="1" applyAlignment="1">
      <alignment horizontal="right" vertical="center" wrapText="1"/>
    </xf>
    <xf numFmtId="169" fontId="13" fillId="0" borderId="13" xfId="0" applyNumberFormat="1" applyFont="1" applyBorder="1" applyAlignment="1">
      <alignment horizontal="right" vertical="center" wrapText="1"/>
    </xf>
    <xf numFmtId="4" fontId="13" fillId="0" borderId="13" xfId="0" applyNumberFormat="1" applyFont="1" applyBorder="1" applyAlignment="1">
      <alignment horizontal="right" vertical="center" wrapText="1"/>
    </xf>
    <xf numFmtId="169" fontId="13" fillId="0" borderId="14" xfId="0" applyNumberFormat="1" applyFont="1" applyBorder="1" applyAlignment="1">
      <alignment horizontal="right" vertical="center" wrapText="1"/>
    </xf>
    <xf numFmtId="4" fontId="13" fillId="0" borderId="14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left"/>
    </xf>
    <xf numFmtId="164" fontId="17" fillId="0" borderId="0" xfId="0" applyNumberFormat="1" applyFont="1" applyAlignment="1">
      <alignment horizontal="left" indent="1"/>
    </xf>
    <xf numFmtId="164" fontId="17" fillId="0" borderId="9" xfId="0" applyNumberFormat="1" applyFont="1" applyBorder="1"/>
    <xf numFmtId="0" fontId="17" fillId="0" borderId="0" xfId="0" applyFont="1" applyAlignment="1">
      <alignment horizontal="left" indent="1"/>
    </xf>
    <xf numFmtId="0" fontId="17" fillId="0" borderId="9" xfId="0" quotePrefix="1" applyFont="1" applyBorder="1"/>
    <xf numFmtId="169" fontId="17" fillId="0" borderId="10" xfId="0" applyNumberFormat="1" applyFont="1" applyBorder="1" applyAlignment="1">
      <alignment horizontal="right" vertical="center" wrapText="1"/>
    </xf>
    <xf numFmtId="169" fontId="17" fillId="0" borderId="9" xfId="0" applyNumberFormat="1" applyFont="1" applyBorder="1" applyAlignment="1">
      <alignment horizontal="right" vertical="center" wrapText="1"/>
    </xf>
    <xf numFmtId="169" fontId="17" fillId="0" borderId="0" xfId="0" applyNumberFormat="1" applyFont="1" applyAlignment="1">
      <alignment horizontal="right" vertical="center" wrapText="1"/>
    </xf>
    <xf numFmtId="0" fontId="13" fillId="0" borderId="0" xfId="0" applyFont="1" applyAlignment="1">
      <alignment horizontal="left" indent="2"/>
    </xf>
    <xf numFmtId="0" fontId="17" fillId="0" borderId="0" xfId="0" applyFont="1" applyAlignment="1">
      <alignment horizontal="left" indent="3"/>
    </xf>
    <xf numFmtId="164" fontId="17" fillId="0" borderId="15" xfId="0" applyNumberFormat="1" applyFont="1" applyBorder="1"/>
    <xf numFmtId="164" fontId="17" fillId="0" borderId="15" xfId="2" applyNumberFormat="1" applyFont="1" applyFill="1" applyBorder="1"/>
    <xf numFmtId="0" fontId="17" fillId="0" borderId="13" xfId="0" applyFont="1" applyBorder="1" applyAlignment="1">
      <alignment horizontal="left" vertical="center" wrapText="1" indent="4"/>
    </xf>
    <xf numFmtId="9" fontId="17" fillId="0" borderId="9" xfId="0" applyNumberFormat="1" applyFont="1" applyBorder="1"/>
    <xf numFmtId="9" fontId="17" fillId="0" borderId="15" xfId="0" applyNumberFormat="1" applyFont="1" applyBorder="1"/>
    <xf numFmtId="9" fontId="17" fillId="0" borderId="0" xfId="0" applyNumberFormat="1" applyFont="1"/>
    <xf numFmtId="9" fontId="17" fillId="0" borderId="10" xfId="0" applyNumberFormat="1" applyFont="1" applyBorder="1"/>
    <xf numFmtId="0" fontId="13" fillId="0" borderId="0" xfId="0" applyFont="1" applyAlignment="1">
      <alignment horizontal="left" indent="1"/>
    </xf>
    <xf numFmtId="166" fontId="63" fillId="0" borderId="0" xfId="2" applyNumberFormat="1" applyFont="1" applyBorder="1" applyAlignment="1">
      <alignment horizontal="right"/>
    </xf>
    <xf numFmtId="166" fontId="69" fillId="0" borderId="0" xfId="2" applyNumberFormat="1" applyFont="1" applyBorder="1" applyAlignment="1">
      <alignment horizontal="right"/>
    </xf>
    <xf numFmtId="166" fontId="17" fillId="0" borderId="0" xfId="2" applyNumberFormat="1" applyFont="1" applyFill="1" applyAlignment="1">
      <alignment horizontal="right"/>
    </xf>
    <xf numFmtId="164" fontId="17" fillId="5" borderId="0" xfId="0" applyNumberFormat="1" applyFont="1" applyFill="1" applyAlignment="1">
      <alignment horizontal="right"/>
    </xf>
    <xf numFmtId="2" fontId="17" fillId="0" borderId="0" xfId="0" applyNumberFormat="1" applyFont="1" applyAlignment="1">
      <alignment horizontal="right"/>
    </xf>
    <xf numFmtId="168" fontId="17" fillId="0" borderId="0" xfId="0" applyNumberFormat="1" applyFont="1" applyAlignment="1">
      <alignment horizontal="right"/>
    </xf>
    <xf numFmtId="166" fontId="17" fillId="5" borderId="0" xfId="2" applyNumberFormat="1" applyFont="1" applyFill="1" applyBorder="1"/>
    <xf numFmtId="0" fontId="79" fillId="5" borderId="3" xfId="0" applyFont="1" applyFill="1" applyBorder="1"/>
    <xf numFmtId="0" fontId="30" fillId="5" borderId="3" xfId="0" applyFont="1" applyFill="1" applyBorder="1" applyAlignment="1">
      <alignment horizontal="right"/>
    </xf>
    <xf numFmtId="0" fontId="30" fillId="5" borderId="0" xfId="0" applyFont="1" applyFill="1"/>
    <xf numFmtId="0" fontId="0" fillId="5" borderId="0" xfId="0" applyFill="1"/>
    <xf numFmtId="166" fontId="0" fillId="5" borderId="0" xfId="2" applyNumberFormat="1" applyFont="1" applyFill="1"/>
    <xf numFmtId="2" fontId="0" fillId="5" borderId="0" xfId="0" applyNumberFormat="1" applyFill="1"/>
    <xf numFmtId="166" fontId="0" fillId="5" borderId="0" xfId="2" applyNumberFormat="1" applyFont="1" applyFill="1" applyAlignment="1">
      <alignment horizontal="right"/>
    </xf>
    <xf numFmtId="0" fontId="0" fillId="5" borderId="0" xfId="0" applyFill="1" applyAlignment="1">
      <alignment horizontal="right"/>
    </xf>
    <xf numFmtId="0" fontId="30" fillId="5" borderId="0" xfId="0" applyFont="1" applyFill="1" applyAlignment="1">
      <alignment horizontal="center"/>
    </xf>
    <xf numFmtId="168" fontId="0" fillId="5" borderId="0" xfId="0" applyNumberFormat="1" applyFill="1"/>
    <xf numFmtId="0" fontId="30" fillId="0" borderId="18" xfId="0" applyFont="1" applyBorder="1"/>
    <xf numFmtId="168" fontId="30" fillId="0" borderId="18" xfId="10" applyNumberFormat="1" applyFont="1" applyBorder="1"/>
    <xf numFmtId="0" fontId="0" fillId="0" borderId="18" xfId="0" applyBorder="1"/>
    <xf numFmtId="168" fontId="30" fillId="0" borderId="18" xfId="0" applyNumberFormat="1" applyFont="1" applyBorder="1"/>
    <xf numFmtId="166" fontId="0" fillId="0" borderId="0" xfId="2" applyNumberFormat="1" applyFont="1"/>
    <xf numFmtId="0" fontId="25" fillId="12" borderId="0" xfId="0" applyFont="1" applyFill="1" applyAlignment="1">
      <alignment horizontal="left"/>
    </xf>
    <xf numFmtId="0" fontId="0" fillId="13" borderId="0" xfId="0" applyFill="1" applyAlignment="1">
      <alignment horizontal="left"/>
    </xf>
    <xf numFmtId="4" fontId="0" fillId="13" borderId="0" xfId="0" applyNumberFormat="1" applyFill="1" applyAlignment="1">
      <alignment horizontal="right"/>
    </xf>
    <xf numFmtId="169" fontId="0" fillId="13" borderId="0" xfId="0" applyNumberFormat="1" applyFill="1" applyAlignment="1">
      <alignment horizontal="right"/>
    </xf>
    <xf numFmtId="178" fontId="0" fillId="13" borderId="0" xfId="0" applyNumberFormat="1" applyFill="1" applyAlignment="1">
      <alignment horizontal="right"/>
    </xf>
    <xf numFmtId="179" fontId="0" fillId="13" borderId="0" xfId="0" applyNumberFormat="1" applyFill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179" fontId="80" fillId="13" borderId="0" xfId="0" applyNumberFormat="1" applyFont="1" applyFill="1" applyAlignment="1">
      <alignment horizontal="right"/>
    </xf>
    <xf numFmtId="179" fontId="80" fillId="0" borderId="0" xfId="0" applyNumberFormat="1" applyFont="1" applyAlignment="1">
      <alignment horizontal="right"/>
    </xf>
    <xf numFmtId="4" fontId="80" fillId="0" borderId="0" xfId="0" applyNumberFormat="1" applyFont="1" applyAlignment="1">
      <alignment horizontal="right"/>
    </xf>
    <xf numFmtId="169" fontId="80" fillId="0" borderId="0" xfId="0" applyNumberFormat="1" applyFont="1" applyAlignment="1">
      <alignment horizontal="right"/>
    </xf>
    <xf numFmtId="4" fontId="80" fillId="13" borderId="0" xfId="0" applyNumberFormat="1" applyFont="1" applyFill="1" applyAlignment="1">
      <alignment horizontal="right"/>
    </xf>
    <xf numFmtId="169" fontId="80" fillId="13" borderId="0" xfId="0" applyNumberFormat="1" applyFont="1" applyFill="1" applyAlignment="1">
      <alignment horizontal="right"/>
    </xf>
    <xf numFmtId="0" fontId="78" fillId="5" borderId="0" xfId="0" applyFont="1" applyFill="1" applyAlignment="1">
      <alignment vertical="center" wrapText="1"/>
    </xf>
    <xf numFmtId="4" fontId="78" fillId="5" borderId="0" xfId="0" applyNumberFormat="1" applyFont="1" applyFill="1" applyAlignment="1">
      <alignment horizontal="right" vertical="center" wrapText="1"/>
    </xf>
    <xf numFmtId="4" fontId="81" fillId="5" borderId="0" xfId="0" applyNumberFormat="1" applyFont="1" applyFill="1" applyAlignment="1">
      <alignment horizontal="right" vertical="center" wrapText="1"/>
    </xf>
    <xf numFmtId="4" fontId="0" fillId="0" borderId="0" xfId="0" applyNumberFormat="1"/>
    <xf numFmtId="168" fontId="81" fillId="5" borderId="0" xfId="0" applyNumberFormat="1" applyFont="1" applyFill="1" applyAlignment="1">
      <alignment horizontal="right" vertical="center" wrapText="1"/>
    </xf>
    <xf numFmtId="166" fontId="63" fillId="0" borderId="0" xfId="0" applyNumberFormat="1" applyFont="1"/>
    <xf numFmtId="0" fontId="1" fillId="5" borderId="0" xfId="0" applyFont="1" applyFill="1"/>
    <xf numFmtId="0" fontId="65" fillId="5" borderId="0" xfId="0" applyFont="1" applyFill="1" applyAlignment="1">
      <alignment vertical="top"/>
    </xf>
    <xf numFmtId="0" fontId="11" fillId="5" borderId="0" xfId="0" applyFont="1" applyFill="1" applyAlignment="1">
      <alignment vertical="top"/>
    </xf>
    <xf numFmtId="164" fontId="38" fillId="3" borderId="0" xfId="5" applyNumberFormat="1" applyFont="1" applyFill="1" applyBorder="1" applyAlignment="1">
      <alignment horizontal="right"/>
    </xf>
    <xf numFmtId="10" fontId="63" fillId="0" borderId="0" xfId="2" applyNumberFormat="1" applyFont="1" applyAlignment="1">
      <alignment horizontal="right"/>
    </xf>
    <xf numFmtId="0" fontId="0" fillId="3" borderId="0" xfId="0" applyFill="1"/>
  </cellXfs>
  <cellStyles count="11">
    <cellStyle name="Background" xfId="5" xr:uid="{3395D89C-6E6F-4F99-838C-56713C7E5072}"/>
    <cellStyle name="Comma" xfId="1" builtinId="3"/>
    <cellStyle name="Currency" xfId="10" builtinId="4"/>
    <cellStyle name="DataOutput" xfId="8" xr:uid="{C4116ABD-346D-4834-AE17-D50B7F010C94}"/>
    <cellStyle name="FactSet header" xfId="6" xr:uid="{0A69568A-B711-4B30-B0BB-30C3E1DAE7CB}"/>
    <cellStyle name="Heading 1" xfId="4" builtinId="16"/>
    <cellStyle name="KeyDataOutput" xfId="7" xr:uid="{74CD7FBA-3E2C-4EEA-BF13-D027E2409269}"/>
    <cellStyle name="Normal" xfId="0" builtinId="0"/>
    <cellStyle name="Normal 2" xfId="9" xr:uid="{9F7F46D4-DE7E-48CB-BE52-F5F99C707256}"/>
    <cellStyle name="Percent" xfId="2" builtinId="5"/>
    <cellStyle name="Title" xfId="3" builtinId="15"/>
  </cellStyles>
  <dxfs count="290">
    <dxf>
      <font>
        <color theme="5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</dxfs>
  <tableStyles count="0" defaultTableStyle="TableStyleMedium2" defaultPivotStyle="PivotStyleLight16"/>
  <colors>
    <mruColors>
      <color rgb="FFFFE5E5"/>
      <color rgb="FF00B050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434340</xdr:colOff>
      <xdr:row>12</xdr:row>
      <xdr:rowOff>83820</xdr:rowOff>
    </xdr:from>
    <xdr:to>
      <xdr:col>4</xdr:col>
      <xdr:colOff>7513933</xdr:colOff>
      <xdr:row>37</xdr:row>
      <xdr:rowOff>145165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FF96D7-0863-4FE7-8C0A-17C71BCFC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5400" y="2095500"/>
          <a:ext cx="7079593" cy="444284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AnalystSolutio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 Narrow"/>
        <a:ea typeface=""/>
        <a:cs typeface=""/>
      </a:majorFont>
      <a:minorFont>
        <a:latin typeface="Arial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 algn="l">
          <a:defRPr sz="1100">
            <a:latin typeface="Arial Narrow" panose="020B0606020202030204" pitchFamily="34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39FF-6F5B-426C-8223-591349535B58}">
  <dimension ref="A1:B4"/>
  <sheetViews>
    <sheetView workbookViewId="0"/>
  </sheetViews>
  <sheetFormatPr baseColWidth="10" defaultColWidth="9" defaultRowHeight="14" x14ac:dyDescent="0.15"/>
  <sheetData>
    <row r="1" spans="1:2" x14ac:dyDescent="0.15">
      <c r="B1" t="s">
        <v>0</v>
      </c>
    </row>
    <row r="2" spans="1:2" x14ac:dyDescent="0.15"/>
    <row r="3" spans="1:2" x14ac:dyDescent="0.15"/>
    <row r="4" spans="1:2" x14ac:dyDescent="0.1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EDAB-315A-4F94-B8D5-C38A3D1BE483}">
  <dimension ref="A1:E6"/>
  <sheetViews>
    <sheetView workbookViewId="0">
      <selection activeCell="B1" sqref="B1"/>
    </sheetView>
  </sheetViews>
  <sheetFormatPr baseColWidth="10" defaultColWidth="9" defaultRowHeight="14" x14ac:dyDescent="0.15"/>
  <cols>
    <col min="1" max="1" width="2.19921875" bestFit="1" customWidth="1"/>
    <col min="2" max="2" width="31.59765625" bestFit="1" customWidth="1"/>
    <col min="3" max="3" width="21" bestFit="1" customWidth="1"/>
    <col min="4" max="4" width="21.796875" bestFit="1" customWidth="1"/>
    <col min="5" max="5" width="169.796875" bestFit="1" customWidth="1"/>
  </cols>
  <sheetData>
    <row r="1" spans="1:5" x14ac:dyDescent="0.15">
      <c r="B1" s="46" t="s">
        <v>1</v>
      </c>
      <c r="C1" s="46" t="s">
        <v>2</v>
      </c>
      <c r="D1" s="46" t="s">
        <v>3</v>
      </c>
      <c r="E1" s="46" t="s">
        <v>4</v>
      </c>
    </row>
    <row r="2" spans="1:5" x14ac:dyDescent="0.1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1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15">
      <c r="A5">
        <v>4</v>
      </c>
      <c r="B5" t="s">
        <v>17</v>
      </c>
      <c r="E5" t="s">
        <v>18</v>
      </c>
    </row>
    <row r="6" spans="1:5" x14ac:dyDescent="0.15">
      <c r="A6">
        <v>5</v>
      </c>
      <c r="B6" t="s">
        <v>19</v>
      </c>
      <c r="E6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E95E-0C4C-40D0-B315-D221B601E8F2}">
  <dimension ref="A1:AT361"/>
  <sheetViews>
    <sheetView showGridLines="0" zoomScale="70" zoomScaleNormal="70" workbookViewId="0">
      <pane xSplit="1" ySplit="7" topLeftCell="B345" activePane="bottomRight" state="frozen"/>
      <selection pane="topRight" activeCell="E1" sqref="E1"/>
      <selection pane="bottomLeft" activeCell="A8" sqref="A8"/>
      <selection pane="bottomRight" activeCell="O46" sqref="O46"/>
    </sheetView>
  </sheetViews>
  <sheetFormatPr baseColWidth="10" defaultColWidth="10.19921875" defaultRowHeight="14" outlineLevelRow="2" outlineLevelCol="2" x14ac:dyDescent="0.15"/>
  <cols>
    <col min="1" max="1" width="60.19921875" style="78" customWidth="1"/>
    <col min="2" max="2" width="20.796875" style="75" hidden="1" customWidth="1"/>
    <col min="3" max="3" width="20.19921875" style="75" customWidth="1"/>
    <col min="4" max="4" width="10.59765625" style="75" bestFit="1" customWidth="1"/>
    <col min="5" max="5" width="11" style="75" bestFit="1" customWidth="1"/>
    <col min="6" max="7" width="10.59765625" style="75" bestFit="1" customWidth="1"/>
    <col min="8" max="12" width="11.19921875" style="75" bestFit="1" customWidth="1"/>
    <col min="13" max="13" width="13.19921875" style="75" customWidth="1"/>
    <col min="14" max="15" width="11.59765625" style="75" bestFit="1" customWidth="1"/>
    <col min="16" max="17" width="11.19921875" style="75" bestFit="1" customWidth="1" outlineLevel="1"/>
    <col min="18" max="20" width="12" style="75" customWidth="1" outlineLevel="1"/>
    <col min="21" max="21" width="25.19921875" style="112" customWidth="1"/>
    <col min="22" max="22" width="16.19921875" style="77" customWidth="1" outlineLevel="2"/>
    <col min="23" max="23" width="21" style="75" customWidth="1" outlineLevel="2"/>
    <col min="24" max="26" width="12" style="75" customWidth="1" outlineLevel="1"/>
    <col min="27" max="27" width="6.796875" style="78" customWidth="1" outlineLevel="1"/>
    <col min="28" max="28" width="12" style="75" customWidth="1" outlineLevel="1"/>
    <col min="29" max="29" width="4.19921875" style="75" customWidth="1" outlineLevel="1"/>
    <col min="30" max="30" width="10.19921875" style="78" customWidth="1" outlineLevel="1"/>
    <col min="31" max="32" width="14.796875" style="78" customWidth="1" outlineLevel="1"/>
    <col min="33" max="16384" width="10.19921875" style="78"/>
  </cols>
  <sheetData>
    <row r="1" spans="1:32" ht="27" customHeight="1" x14ac:dyDescent="0.15">
      <c r="A1" s="208" t="s">
        <v>258</v>
      </c>
      <c r="B1" s="72">
        <v>2</v>
      </c>
      <c r="C1" s="73">
        <v>1</v>
      </c>
      <c r="D1" s="72">
        <v>2</v>
      </c>
      <c r="E1" s="209" t="s">
        <v>21</v>
      </c>
      <c r="F1" s="74" t="s">
        <v>22</v>
      </c>
      <c r="G1" s="74" t="s">
        <v>23</v>
      </c>
      <c r="U1" s="76" t="s">
        <v>24</v>
      </c>
      <c r="AD1" s="75"/>
      <c r="AF1" s="79" t="s">
        <v>25</v>
      </c>
    </row>
    <row r="2" spans="1:32" s="82" customFormat="1" x14ac:dyDescent="0.15">
      <c r="A2" s="210" t="s">
        <v>26</v>
      </c>
      <c r="B2" s="211" t="str">
        <f>CHOOSE(B1,"GAAP/IFRS","Broker Actual")</f>
        <v>Broker Actual</v>
      </c>
      <c r="C2" s="211" t="str">
        <f>CHOOSE(C1,AE3,AF3)</f>
        <v>Incl. restate</v>
      </c>
      <c r="D2" s="211" t="str">
        <f>CHOOSE(D1,AE2,AF2)</f>
        <v>Median</v>
      </c>
      <c r="E2" s="211" t="s">
        <v>17</v>
      </c>
      <c r="F2" s="80" t="s">
        <v>27</v>
      </c>
      <c r="G2" s="81" t="s">
        <v>28</v>
      </c>
      <c r="J2" s="83" t="s">
        <v>29</v>
      </c>
      <c r="U2" s="84"/>
      <c r="V2" s="85"/>
      <c r="Y2" s="82" t="s">
        <v>17</v>
      </c>
      <c r="AE2" s="212" t="s">
        <v>30</v>
      </c>
      <c r="AF2" s="212" t="s">
        <v>31</v>
      </c>
    </row>
    <row r="3" spans="1:32" x14ac:dyDescent="0.15">
      <c r="A3" s="213" t="s">
        <v>32</v>
      </c>
      <c r="B3" s="77"/>
      <c r="F3" s="86" t="s">
        <v>33</v>
      </c>
      <c r="G3" s="86" t="s">
        <v>34</v>
      </c>
      <c r="H3" s="78"/>
      <c r="L3" s="482">
        <f ca="1">L4-L7</f>
        <v>366</v>
      </c>
      <c r="U3" s="87"/>
      <c r="AE3" s="214" t="s">
        <v>35</v>
      </c>
      <c r="AF3" s="214" t="s">
        <v>36</v>
      </c>
    </row>
    <row r="4" spans="1:32" x14ac:dyDescent="0.15">
      <c r="A4" s="215" t="str">
        <f>"Financial Statements Summary - "&amp; _xll.FDSC("-",ALLFINSTAT_RWIdentifier,"FG_COMPANY_NAME")&amp;" ("&amp;UPPER(ALLFINSTAT_RWIdentifier)&amp;")"</f>
        <v>Financial Statements Summary - Unum Group (UNM)</v>
      </c>
      <c r="B4" s="78"/>
      <c r="C4" s="78"/>
      <c r="D4" s="78"/>
      <c r="E4" s="78"/>
      <c r="F4" s="77" t="s">
        <v>37</v>
      </c>
      <c r="G4" s="77" t="s">
        <v>38</v>
      </c>
      <c r="H4" s="78"/>
      <c r="I4" s="78"/>
      <c r="L4" s="481">
        <f ca="1">TODAY()</f>
        <v>45262</v>
      </c>
      <c r="M4" s="138">
        <f ca="1">(365-L3)/365</f>
        <v>-2.7397260273972603E-3</v>
      </c>
      <c r="N4" s="254">
        <f ca="1">1-M4</f>
        <v>1.0027397260273974</v>
      </c>
      <c r="U4" s="87"/>
      <c r="AE4" s="214" t="s">
        <v>39</v>
      </c>
      <c r="AF4" s="214" t="s">
        <v>40</v>
      </c>
    </row>
    <row r="5" spans="1:32" s="92" customFormat="1" x14ac:dyDescent="0.15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90"/>
      <c r="V5" s="91"/>
      <c r="W5" s="89"/>
      <c r="X5" s="89"/>
      <c r="Y5" s="89"/>
      <c r="Z5" s="89"/>
      <c r="AB5" s="89"/>
      <c r="AC5" s="93"/>
    </row>
    <row r="6" spans="1:32" x14ac:dyDescent="0.15">
      <c r="A6" s="94" t="s">
        <v>41</v>
      </c>
      <c r="B6" s="95" t="s">
        <v>42</v>
      </c>
      <c r="C6" s="95" t="s">
        <v>43</v>
      </c>
      <c r="D6" s="95" t="s">
        <v>44</v>
      </c>
      <c r="E6" s="95" t="s">
        <v>45</v>
      </c>
      <c r="F6" s="95" t="s">
        <v>46</v>
      </c>
      <c r="G6" s="95" t="s">
        <v>47</v>
      </c>
      <c r="H6" s="95" t="s">
        <v>48</v>
      </c>
      <c r="I6" s="95" t="s">
        <v>49</v>
      </c>
      <c r="J6" s="95" t="s">
        <v>50</v>
      </c>
      <c r="K6" s="95" t="s">
        <v>51</v>
      </c>
      <c r="L6" s="95" t="s">
        <v>52</v>
      </c>
      <c r="M6" s="95" t="s">
        <v>53</v>
      </c>
      <c r="N6" s="95" t="s">
        <v>54</v>
      </c>
      <c r="O6" s="95" t="s">
        <v>55</v>
      </c>
      <c r="P6" s="95" t="s">
        <v>589</v>
      </c>
      <c r="Q6" s="95" t="s">
        <v>590</v>
      </c>
      <c r="R6" s="95"/>
      <c r="S6" s="95"/>
      <c r="T6" s="95"/>
      <c r="U6" s="96"/>
      <c r="V6" s="97" t="s">
        <v>56</v>
      </c>
      <c r="W6" s="97" t="s">
        <v>57</v>
      </c>
      <c r="X6" s="95" t="s">
        <v>53</v>
      </c>
      <c r="Y6" s="95" t="s">
        <v>54</v>
      </c>
      <c r="Z6" s="95" t="s">
        <v>55</v>
      </c>
      <c r="AA6" s="98"/>
      <c r="AB6" s="98"/>
      <c r="AC6" s="98"/>
    </row>
    <row r="7" spans="1:32" x14ac:dyDescent="0.15">
      <c r="A7" s="78" t="s">
        <v>58</v>
      </c>
      <c r="B7" s="99" t="str" cm="1">
        <f t="array" ref="B7">_xll.FDSRC("-",$A$1,"CONVERT_DATE(FF_FISCAL_DATE(ANN_R,"&amp;B$6&amp;","&amp;B$6&amp;",,,"""",""DATEJ""),""MM/YYYY"")")</f>
        <v>12/2012</v>
      </c>
      <c r="C7" s="99" t="str" cm="1">
        <f t="array" ref="C7">_xll.FDSRC("-",$A$1,"CONVERT_DATE(FF_FISCAL_DATE(ANN_R,"&amp;C$6&amp;","&amp;C$6&amp;",,,"""",""DATEJ""),""MM/YYYY"")")</f>
        <v>12/2013</v>
      </c>
      <c r="D7" s="99" t="str" cm="1">
        <f t="array" ref="D7">_xll.FDSRC("-",$A$1,"CONVERT_DATE(FF_FISCAL_DATE(ANN_R,"&amp;D$6&amp;","&amp;D$6&amp;",,,"""",""DATEJ""),""MM/YYYY"")")</f>
        <v>12/2014</v>
      </c>
      <c r="E7" s="99" t="str" cm="1">
        <f t="array" ref="E7">_xll.FDSRC("-",$A$1,"CONVERT_DATE(FF_FISCAL_DATE(ANN_R,"&amp;E$6&amp;","&amp;E$6&amp;",,,"""",""DATEJ""),""MM/YYYY"")")</f>
        <v>12/2015</v>
      </c>
      <c r="F7" s="99" t="str" cm="1">
        <f t="array" ref="F7">_xll.FDSRC("-",$A$1,"CONVERT_DATE(FF_FISCAL_DATE(ANN_R,"&amp;F$6&amp;","&amp;F$6&amp;",,,"""",""DATEJ""),""MM/YYYY"")")</f>
        <v>12/2016</v>
      </c>
      <c r="G7" s="99" t="str" cm="1">
        <f t="array" ref="G7">_xll.FDSRC("-",$A$1,"CONVERT_DATE(FF_FISCAL_DATE(ANN_R,"&amp;G$6&amp;","&amp;G$6&amp;",,,"""",""DATEJ""),""MM/YYYY"")")</f>
        <v>12/2017</v>
      </c>
      <c r="H7" s="99" t="str" cm="1">
        <f t="array" ref="H7">_xll.FDSRC("-",$A$1,"CONVERT_DATE(FF_FISCAL_DATE(ANN_R,"&amp;H$6&amp;","&amp;H$6&amp;",,,"""",""DATEJ""),""MM/YYYY"")")</f>
        <v>12/2018</v>
      </c>
      <c r="I7" s="99" t="str" cm="1">
        <f t="array" ref="I7">_xll.FDSRC("-",$A$1,"CONVERT_DATE(FF_FISCAL_DATE(ANN_R,"&amp;I$6&amp;","&amp;I$6&amp;",,,"""",""DATEJ""),""MM/YYYY"")")</f>
        <v>12/2019</v>
      </c>
      <c r="J7" s="99" t="str" cm="1">
        <f t="array" ref="J7">_xll.FDSRC("-",$A$1,"CONVERT_DATE(FF_FISCAL_DATE(ANN_R,"&amp;J$6&amp;","&amp;J$6&amp;",,,"""",""DATEJ""),""MM/YYYY"")")</f>
        <v>12/2020</v>
      </c>
      <c r="K7" s="99" t="str" cm="1">
        <f t="array" ref="K7">_xll.FDSRC("-",$A$1,"CONVERT_DATE(FF_FISCAL_DATE(ANN_R,"&amp;K$6&amp;","&amp;K$6&amp;",,,"""",""DATEJ""),""MM/YYYY"")")</f>
        <v>12/2021</v>
      </c>
      <c r="L7" s="99" t="str" cm="1">
        <f t="array" ref="L7">_xll.FDSRC("-",$A$1,"CONVERT_DATE(FF_FISCAL_DATE(ANN_R,"&amp;L$6&amp;","&amp;L$6&amp;",,,"""",""DATEJ""),""MM/YYYY"")")</f>
        <v>12/2022</v>
      </c>
      <c r="M7" s="100">
        <v>45291</v>
      </c>
      <c r="N7" s="100">
        <v>45657</v>
      </c>
      <c r="O7" s="100">
        <v>46022</v>
      </c>
      <c r="P7" s="100">
        <v>46387</v>
      </c>
      <c r="Q7" s="100">
        <v>46752</v>
      </c>
      <c r="R7" s="101"/>
      <c r="S7" s="101"/>
      <c r="T7" s="101"/>
      <c r="U7" s="102"/>
      <c r="V7" s="103"/>
      <c r="W7" s="104"/>
      <c r="X7" s="105" t="str" cm="1">
        <f t="array" ref="X7">_xll.FDSC("",$A$1,"FE_ACTUAL_DATE(FISCALPERIODEND,,ANNUAL,1,'MM/YYYY')")</f>
        <v>12/2023</v>
      </c>
      <c r="Y7" s="105" t="str" cm="1">
        <f t="array" ref="Y7">_xll.FDSC("",$A$1,"FE_ACTUAL_DATE(FISCALPERIODEND,,ANNUAL,2,'MM/YYYY')")</f>
        <v>12/2024</v>
      </c>
      <c r="Z7" s="105" t="str" cm="1">
        <f t="array" ref="Z7">_xll.FDSC("",$A$1,"FE_ACTUAL_DATE(FISCALPERIODEND,,ANNUAL,3,'MM/YYYY')")</f>
        <v>12/2025</v>
      </c>
      <c r="AA7" s="106"/>
      <c r="AB7" s="105"/>
      <c r="AC7" s="107"/>
    </row>
    <row r="8" spans="1:32" x14ac:dyDescent="0.15">
      <c r="A8" s="108" t="s">
        <v>59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100"/>
      <c r="N8" s="100"/>
      <c r="O8" s="99"/>
      <c r="P8" s="101"/>
      <c r="Q8" s="101"/>
      <c r="R8" s="101"/>
      <c r="S8" s="101"/>
      <c r="T8" s="101"/>
      <c r="U8" s="102"/>
      <c r="V8" s="103"/>
      <c r="W8" s="104"/>
      <c r="X8" s="105"/>
      <c r="Y8" s="105"/>
      <c r="Z8" s="105"/>
      <c r="AA8" s="106"/>
      <c r="AB8" s="105"/>
      <c r="AC8" s="107"/>
    </row>
    <row r="9" spans="1:32" x14ac:dyDescent="0.15">
      <c r="A9" s="109" t="s">
        <v>60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1"/>
      <c r="P9" s="111"/>
      <c r="Q9" s="111"/>
      <c r="R9" s="111"/>
      <c r="S9" s="111"/>
      <c r="T9" s="111"/>
      <c r="AA9" s="75"/>
    </row>
    <row r="10" spans="1:32" x14ac:dyDescent="0.15">
      <c r="A10" s="113" t="s">
        <v>61</v>
      </c>
      <c r="B10" s="75" t="s">
        <v>62</v>
      </c>
      <c r="C10" s="75" t="s">
        <v>63</v>
      </c>
      <c r="D10" s="75" t="s">
        <v>64</v>
      </c>
      <c r="E10" s="75" t="s">
        <v>65</v>
      </c>
      <c r="F10" s="75" t="s">
        <v>66</v>
      </c>
      <c r="G10" s="75" t="s">
        <v>67</v>
      </c>
      <c r="H10" s="75" t="s">
        <v>68</v>
      </c>
      <c r="I10" s="75" t="s">
        <v>69</v>
      </c>
      <c r="J10" s="75" t="s">
        <v>70</v>
      </c>
      <c r="K10" s="75" t="s">
        <v>71</v>
      </c>
      <c r="L10" s="75" t="s">
        <v>72</v>
      </c>
      <c r="M10" s="114"/>
      <c r="N10" s="114"/>
      <c r="O10" s="114"/>
    </row>
    <row r="11" spans="1:32" ht="15" outlineLevel="2" x14ac:dyDescent="0.15">
      <c r="A11" s="202" t="s">
        <v>259</v>
      </c>
      <c r="B11" s="115"/>
      <c r="C11" s="198">
        <v>7624.7</v>
      </c>
      <c r="D11" s="198">
        <v>7797.2</v>
      </c>
      <c r="E11" s="198">
        <v>8082.4</v>
      </c>
      <c r="F11" s="198">
        <v>8357.7000000000007</v>
      </c>
      <c r="G11" s="198">
        <v>8597.1</v>
      </c>
      <c r="H11" s="198">
        <v>8986.1</v>
      </c>
      <c r="I11" s="198">
        <v>9365.6</v>
      </c>
      <c r="J11" s="198">
        <v>9378.1</v>
      </c>
      <c r="K11" s="198">
        <v>9481</v>
      </c>
      <c r="L11" s="198">
        <v>9623.4</v>
      </c>
      <c r="M11" s="252">
        <f>M13+M15+M17+M19</f>
        <v>10034.611999999999</v>
      </c>
      <c r="N11" s="252">
        <f>N13+N15+N17+N19</f>
        <v>10902.29624</v>
      </c>
      <c r="O11" s="252">
        <f t="shared" ref="O11:Q11" si="0">O13+O15+O17+O19</f>
        <v>11166.5892788</v>
      </c>
      <c r="P11" s="252">
        <f t="shared" si="0"/>
        <v>11268.812171587999</v>
      </c>
      <c r="Q11" s="252">
        <f t="shared" si="0"/>
        <v>11294.998402387881</v>
      </c>
      <c r="R11" s="117"/>
      <c r="S11" s="117"/>
      <c r="T11" s="117"/>
      <c r="U11" s="118"/>
      <c r="V11" s="119"/>
      <c r="W11" s="119"/>
      <c r="X11" s="117"/>
      <c r="Y11" s="117"/>
      <c r="Z11" s="117"/>
      <c r="AA11" s="117"/>
      <c r="AB11" s="117"/>
      <c r="AC11" s="120"/>
    </row>
    <row r="12" spans="1:32" ht="15" outlineLevel="2" x14ac:dyDescent="0.15">
      <c r="A12" s="206" t="s">
        <v>272</v>
      </c>
      <c r="B12" s="115"/>
      <c r="C12" s="198"/>
      <c r="D12" s="207">
        <f>(D11-C11)/C11</f>
        <v>2.2623840938004118E-2</v>
      </c>
      <c r="E12" s="207">
        <f t="shared" ref="E12" si="1">(E11-D11)/D11</f>
        <v>3.6577232852818935E-2</v>
      </c>
      <c r="F12" s="207">
        <f t="shared" ref="F12" si="2">(F11-E11)/E11</f>
        <v>3.406166485202429E-2</v>
      </c>
      <c r="G12" s="207">
        <f t="shared" ref="G12" si="3">(G11-F11)/F11</f>
        <v>2.8644244229871808E-2</v>
      </c>
      <c r="H12" s="207">
        <f t="shared" ref="H12" si="4">(H11-G11)/G11</f>
        <v>4.5247816124041829E-2</v>
      </c>
      <c r="I12" s="207">
        <f t="shared" ref="I12" si="5">(I11-H11)/H11</f>
        <v>4.2231891476836446E-2</v>
      </c>
      <c r="J12" s="207">
        <f t="shared" ref="J12" si="6">(J11-I11)/I11</f>
        <v>1.3346715640215256E-3</v>
      </c>
      <c r="K12" s="207">
        <f t="shared" ref="K12" si="7">(K11-J11)/J11</f>
        <v>1.0972371802390636E-2</v>
      </c>
      <c r="L12" s="207">
        <f t="shared" ref="L12" si="8">(L11-K11)/K11</f>
        <v>1.5019512709629748E-2</v>
      </c>
      <c r="M12" s="224">
        <f t="shared" ref="M12" si="9">(M11-L11)/L11</f>
        <v>4.2730427915289769E-2</v>
      </c>
      <c r="N12" s="224">
        <f t="shared" ref="N12" si="10">(N11-M11)/M11</f>
        <v>8.6469137022936265E-2</v>
      </c>
      <c r="O12" s="224">
        <f t="shared" ref="O12" si="11">(O11-N11)/N11</f>
        <v>2.4241960866034994E-2</v>
      </c>
      <c r="P12" s="224">
        <f t="shared" ref="P12" si="12">(P11-O11)/O11</f>
        <v>9.1543523483997909E-3</v>
      </c>
      <c r="Q12" s="224">
        <f t="shared" ref="Q12" si="13">(Q11-P11)/P11</f>
        <v>2.3237791526870026E-3</v>
      </c>
      <c r="R12" s="117"/>
      <c r="S12" s="117"/>
      <c r="T12" s="117"/>
      <c r="U12" s="118"/>
      <c r="V12" s="119"/>
      <c r="W12" s="119"/>
      <c r="X12" s="117"/>
      <c r="Y12" s="117"/>
      <c r="Z12" s="117"/>
      <c r="AA12" s="117"/>
      <c r="AB12" s="117"/>
      <c r="AC12" s="120"/>
    </row>
    <row r="13" spans="1:32" ht="15" outlineLevel="2" x14ac:dyDescent="0.15">
      <c r="A13" s="205" t="s">
        <v>268</v>
      </c>
      <c r="B13" s="115"/>
      <c r="C13" s="198">
        <v>4517.1000000000004</v>
      </c>
      <c r="D13" s="198">
        <v>4659.7</v>
      </c>
      <c r="E13" s="198">
        <v>4960</v>
      </c>
      <c r="F13" s="198">
        <v>5240.8999999999996</v>
      </c>
      <c r="G13" s="198">
        <v>5443.5</v>
      </c>
      <c r="H13" s="198">
        <v>5736.4</v>
      </c>
      <c r="I13" s="198">
        <v>6016.6</v>
      </c>
      <c r="J13" s="198">
        <v>6018.9</v>
      </c>
      <c r="K13" s="198">
        <v>6078</v>
      </c>
      <c r="L13" s="198">
        <v>6258.3</v>
      </c>
      <c r="M13" s="252">
        <f>L13*(1+M14)</f>
        <v>6589.7000000000007</v>
      </c>
      <c r="N13" s="252">
        <f t="shared" ref="N13" si="14">M13*(1+N14)</f>
        <v>7407.3720000000012</v>
      </c>
      <c r="O13" s="252">
        <f t="shared" ref="O13" si="15">N13*(1+O14)</f>
        <v>7629.5931600000013</v>
      </c>
      <c r="P13" s="252">
        <f t="shared" ref="P13" si="16">O13*(1+P14)</f>
        <v>7705.8890916000009</v>
      </c>
      <c r="Q13" s="252">
        <f t="shared" ref="Q13" si="17">P13*(1+Q14)</f>
        <v>7705.8890916000009</v>
      </c>
      <c r="R13" s="117"/>
      <c r="S13" s="117"/>
      <c r="T13" s="117"/>
      <c r="U13" s="118"/>
      <c r="V13" s="119"/>
      <c r="W13" s="119"/>
      <c r="X13" s="117"/>
      <c r="Y13" s="117"/>
      <c r="Z13" s="117"/>
      <c r="AA13" s="117"/>
      <c r="AB13" s="117"/>
      <c r="AC13" s="120"/>
    </row>
    <row r="14" spans="1:32" ht="15" outlineLevel="2" x14ac:dyDescent="0.15">
      <c r="A14" s="206" t="s">
        <v>272</v>
      </c>
      <c r="B14" s="115"/>
      <c r="C14" s="198"/>
      <c r="D14" s="207">
        <f>(D13-C13)/C13</f>
        <v>3.1568926966416382E-2</v>
      </c>
      <c r="E14" s="207">
        <f t="shared" ref="E14:L14" si="18">(E13-D13)/D13</f>
        <v>6.4446208983410996E-2</v>
      </c>
      <c r="F14" s="207">
        <f t="shared" si="18"/>
        <v>5.6633064516128956E-2</v>
      </c>
      <c r="G14" s="207">
        <f t="shared" si="18"/>
        <v>3.8657482493464936E-2</v>
      </c>
      <c r="H14" s="207">
        <f t="shared" si="18"/>
        <v>5.3807293101864544E-2</v>
      </c>
      <c r="I14" s="207">
        <f t="shared" si="18"/>
        <v>4.8845966111149983E-2</v>
      </c>
      <c r="J14" s="207">
        <f t="shared" si="18"/>
        <v>3.8227570388579466E-4</v>
      </c>
      <c r="K14" s="207">
        <f t="shared" si="18"/>
        <v>9.8190699297214384E-3</v>
      </c>
      <c r="L14" s="207">
        <f t="shared" si="18"/>
        <v>2.9664363277393909E-2</v>
      </c>
      <c r="M14" s="123">
        <f>'Unum US Breakout - Base'!AO6</f>
        <v>5.2953677516258499E-2</v>
      </c>
      <c r="N14" s="123">
        <f>'Unum US Breakout - Base'!AP6</f>
        <v>0.12408334218553219</v>
      </c>
      <c r="O14" s="123">
        <v>0.03</v>
      </c>
      <c r="P14" s="123">
        <v>0.01</v>
      </c>
      <c r="Q14" s="123">
        <v>0</v>
      </c>
      <c r="R14" s="117"/>
      <c r="S14" s="117"/>
      <c r="T14" s="117"/>
      <c r="U14" s="118"/>
      <c r="V14" s="119"/>
      <c r="W14" s="119"/>
      <c r="X14" s="117"/>
      <c r="Y14" s="117"/>
      <c r="Z14" s="117"/>
      <c r="AA14" s="117"/>
      <c r="AB14" s="117"/>
      <c r="AC14" s="120"/>
    </row>
    <row r="15" spans="1:32" ht="15" outlineLevel="2" x14ac:dyDescent="0.15">
      <c r="A15" s="205" t="s">
        <v>269</v>
      </c>
      <c r="B15" s="115"/>
      <c r="C15" s="198">
        <v>556.6</v>
      </c>
      <c r="D15" s="198">
        <v>607.20000000000005</v>
      </c>
      <c r="E15" s="198">
        <v>576.20000000000005</v>
      </c>
      <c r="F15" s="198">
        <v>529.29999999999995</v>
      </c>
      <c r="G15" s="198">
        <v>513</v>
      </c>
      <c r="H15" s="198">
        <v>568.79999999999995</v>
      </c>
      <c r="I15" s="198">
        <v>630.5</v>
      </c>
      <c r="J15" s="198">
        <v>652.79999999999995</v>
      </c>
      <c r="K15" s="198">
        <v>717</v>
      </c>
      <c r="L15" s="198">
        <v>718.8</v>
      </c>
      <c r="M15" s="252">
        <f>L15*(1+M16)</f>
        <v>747.55200000000002</v>
      </c>
      <c r="N15" s="252">
        <f>M15*(1+N16)</f>
        <v>762.50304000000006</v>
      </c>
      <c r="O15" s="252">
        <f t="shared" ref="O15" si="19">N15*(1+O16)</f>
        <v>777.75310080000008</v>
      </c>
      <c r="P15" s="252">
        <f t="shared" ref="P15" si="20">O15*(1+P16)</f>
        <v>785.53063180800007</v>
      </c>
      <c r="Q15" s="252">
        <f t="shared" ref="Q15" si="21">P15*(1+Q16)</f>
        <v>793.38593812608008</v>
      </c>
      <c r="R15" s="117"/>
      <c r="S15" s="117"/>
      <c r="T15" s="117"/>
      <c r="U15" s="118"/>
      <c r="V15" s="119"/>
      <c r="W15" s="119"/>
      <c r="X15" s="117"/>
      <c r="Y15" s="117"/>
      <c r="Z15" s="117"/>
      <c r="AA15" s="117"/>
      <c r="AB15" s="117"/>
      <c r="AC15" s="120"/>
    </row>
    <row r="16" spans="1:32" ht="15" outlineLevel="2" x14ac:dyDescent="0.15">
      <c r="A16" s="206" t="s">
        <v>272</v>
      </c>
      <c r="B16" s="115"/>
      <c r="C16" s="198"/>
      <c r="D16" s="207">
        <f>(D15-C15)/C15</f>
        <v>9.0909090909090939E-2</v>
      </c>
      <c r="E16" s="207">
        <f t="shared" ref="E16" si="22">(E15-D15)/D15</f>
        <v>-5.1054018445322792E-2</v>
      </c>
      <c r="F16" s="207">
        <f t="shared" ref="F16" si="23">(F15-E15)/E15</f>
        <v>-8.1395348837209447E-2</v>
      </c>
      <c r="G16" s="207">
        <f t="shared" ref="G16" si="24">(G15-F15)/F15</f>
        <v>-3.0795390137917922E-2</v>
      </c>
      <c r="H16" s="207">
        <f t="shared" ref="H16" si="25">(H15-G15)/G15</f>
        <v>0.10877192982456131</v>
      </c>
      <c r="I16" s="207">
        <f t="shared" ref="I16" si="26">(I15-H15)/H15</f>
        <v>0.10847398030942344</v>
      </c>
      <c r="J16" s="207">
        <f t="shared" ref="J16" si="27">(J15-I15)/I15</f>
        <v>3.5368754956383752E-2</v>
      </c>
      <c r="K16" s="207">
        <f t="shared" ref="K16" si="28">(K15-J15)/J15</f>
        <v>9.8345588235294198E-2</v>
      </c>
      <c r="L16" s="207">
        <f t="shared" ref="L16" si="29">(L15-K15)/K15</f>
        <v>2.5104602510459617E-3</v>
      </c>
      <c r="M16" s="123">
        <v>0.04</v>
      </c>
      <c r="N16" s="123">
        <v>0.02</v>
      </c>
      <c r="O16" s="123">
        <v>0.02</v>
      </c>
      <c r="P16" s="123">
        <v>0.01</v>
      </c>
      <c r="Q16" s="123">
        <v>0.01</v>
      </c>
      <c r="R16" s="117"/>
      <c r="S16" s="117"/>
      <c r="T16" s="117"/>
      <c r="U16" s="118"/>
      <c r="V16" s="119"/>
      <c r="W16" s="119"/>
      <c r="X16" s="117"/>
      <c r="Y16" s="117"/>
      <c r="Z16" s="117"/>
      <c r="AA16" s="117"/>
      <c r="AB16" s="117"/>
      <c r="AC16" s="120"/>
    </row>
    <row r="17" spans="1:29" ht="15" outlineLevel="2" x14ac:dyDescent="0.15">
      <c r="A17" s="205" t="s">
        <v>270</v>
      </c>
      <c r="B17" s="115"/>
      <c r="C17" s="198">
        <v>1232.2</v>
      </c>
      <c r="D17" s="198">
        <v>1273.7</v>
      </c>
      <c r="E17" s="198">
        <v>1338.6</v>
      </c>
      <c r="F17" s="198">
        <v>1417.1</v>
      </c>
      <c r="G17" s="198">
        <v>1511.4</v>
      </c>
      <c r="H17" s="198">
        <v>1603.8</v>
      </c>
      <c r="I17" s="198">
        <v>1685</v>
      </c>
      <c r="J17" s="198">
        <v>1712</v>
      </c>
      <c r="K17" s="198">
        <v>1690.2</v>
      </c>
      <c r="L17" s="198">
        <v>1702</v>
      </c>
      <c r="M17" s="116">
        <f>L17*(1+M18)</f>
        <v>1753.06</v>
      </c>
      <c r="N17" s="116">
        <f t="shared" ref="N17" si="30">M17*(1+N18)</f>
        <v>1788.1212</v>
      </c>
      <c r="O17" s="116">
        <f t="shared" ref="O17" si="31">N17*(1+O18)</f>
        <v>1814.9430179999999</v>
      </c>
      <c r="P17" s="116">
        <f t="shared" ref="P17" si="32">O17*(1+P18)</f>
        <v>1833.09244818</v>
      </c>
      <c r="Q17" s="116">
        <f t="shared" ref="Q17" si="33">P17*(1+Q18)</f>
        <v>1851.4233726617999</v>
      </c>
      <c r="R17" s="117"/>
      <c r="S17" s="117"/>
      <c r="T17" s="117"/>
      <c r="U17" s="118"/>
      <c r="V17" s="119"/>
      <c r="W17" s="119"/>
      <c r="X17" s="117"/>
      <c r="Y17" s="117"/>
      <c r="Z17" s="117"/>
      <c r="AA17" s="117"/>
      <c r="AB17" s="117"/>
      <c r="AC17" s="120"/>
    </row>
    <row r="18" spans="1:29" ht="15" outlineLevel="2" x14ac:dyDescent="0.15">
      <c r="A18" s="206" t="s">
        <v>272</v>
      </c>
      <c r="B18" s="115"/>
      <c r="C18" s="198"/>
      <c r="D18" s="207">
        <f>(D17-C17)/C17</f>
        <v>3.3679597467943516E-2</v>
      </c>
      <c r="E18" s="207">
        <f t="shared" ref="E18" si="34">(E17-D17)/D17</f>
        <v>5.0953913794456983E-2</v>
      </c>
      <c r="F18" s="207">
        <f t="shared" ref="F18" si="35">(F17-E17)/E17</f>
        <v>5.8643358733004636E-2</v>
      </c>
      <c r="G18" s="207">
        <f t="shared" ref="G18" si="36">(G17-F17)/F17</f>
        <v>6.6544351139651528E-2</v>
      </c>
      <c r="H18" s="207">
        <f t="shared" ref="H18" si="37">(H17-G17)/G17</f>
        <v>6.1135371179039208E-2</v>
      </c>
      <c r="I18" s="207">
        <f t="shared" ref="I18" si="38">(I17-H17)/H17</f>
        <v>5.0629754333458066E-2</v>
      </c>
      <c r="J18" s="207">
        <f t="shared" ref="J18" si="39">(J17-I17)/I17</f>
        <v>1.6023738872403562E-2</v>
      </c>
      <c r="K18" s="207">
        <f t="shared" ref="K18" si="40">(K17-J17)/J17</f>
        <v>-1.2733644859813058E-2</v>
      </c>
      <c r="L18" s="207">
        <f t="shared" ref="L18" si="41">(L17-K17)/K17</f>
        <v>6.9814223168855483E-3</v>
      </c>
      <c r="M18" s="123">
        <v>0.03</v>
      </c>
      <c r="N18" s="123">
        <v>0.02</v>
      </c>
      <c r="O18" s="123">
        <v>1.4999999999999999E-2</v>
      </c>
      <c r="P18" s="123">
        <v>0.01</v>
      </c>
      <c r="Q18" s="123">
        <v>0.01</v>
      </c>
      <c r="R18" s="117"/>
      <c r="S18" s="117"/>
      <c r="T18" s="117"/>
      <c r="U18" s="118"/>
      <c r="V18" s="119"/>
      <c r="W18" s="119"/>
      <c r="X18" s="117"/>
      <c r="Y18" s="117"/>
      <c r="Z18" s="117"/>
      <c r="AA18" s="117"/>
      <c r="AB18" s="117"/>
      <c r="AC18" s="120"/>
    </row>
    <row r="19" spans="1:29" ht="15" outlineLevel="2" collapsed="1" x14ac:dyDescent="0.15">
      <c r="A19" s="205" t="s">
        <v>271</v>
      </c>
      <c r="B19" s="115"/>
      <c r="C19" s="198">
        <v>1318.8</v>
      </c>
      <c r="D19" s="198">
        <v>1256.5999999999999</v>
      </c>
      <c r="E19" s="198">
        <v>1207.5999999999999</v>
      </c>
      <c r="F19" s="198">
        <v>1170.4000000000001</v>
      </c>
      <c r="G19" s="198">
        <v>1129.2</v>
      </c>
      <c r="H19" s="198">
        <v>1077.0999999999999</v>
      </c>
      <c r="I19" s="198">
        <v>1033.5</v>
      </c>
      <c r="J19" s="198">
        <v>994.4</v>
      </c>
      <c r="K19" s="198">
        <v>995.8</v>
      </c>
      <c r="L19" s="198">
        <v>944.3</v>
      </c>
      <c r="M19" s="252">
        <f>L19*(1+M20)</f>
        <v>944.3</v>
      </c>
      <c r="N19" s="252">
        <f t="shared" ref="N19" si="42">M19*(1+N20)</f>
        <v>944.3</v>
      </c>
      <c r="O19" s="252">
        <f t="shared" ref="O19" si="43">N19*(1+O20)</f>
        <v>944.3</v>
      </c>
      <c r="P19" s="252">
        <f t="shared" ref="P19" si="44">O19*(1+P20)</f>
        <v>944.3</v>
      </c>
      <c r="Q19" s="252">
        <f t="shared" ref="Q19" si="45">P19*(1+Q20)</f>
        <v>944.3</v>
      </c>
      <c r="R19" s="117"/>
      <c r="S19" s="117"/>
      <c r="T19" s="117"/>
      <c r="U19" s="118"/>
      <c r="V19" s="119"/>
      <c r="W19" s="119"/>
      <c r="X19" s="117"/>
      <c r="Y19" s="117"/>
      <c r="Z19" s="117"/>
      <c r="AA19" s="117"/>
      <c r="AB19" s="117"/>
      <c r="AC19" s="120"/>
    </row>
    <row r="20" spans="1:29" ht="15" outlineLevel="2" x14ac:dyDescent="0.15">
      <c r="A20" s="206" t="s">
        <v>272</v>
      </c>
      <c r="B20" s="115"/>
      <c r="C20" s="198"/>
      <c r="D20" s="207">
        <f>(D19-C19)/C19</f>
        <v>-4.7164088565362486E-2</v>
      </c>
      <c r="E20" s="207">
        <f t="shared" ref="E20" si="46">(E19-D19)/D19</f>
        <v>-3.8994111093426709E-2</v>
      </c>
      <c r="F20" s="207">
        <f t="shared" ref="F20" si="47">(F19-E19)/E19</f>
        <v>-3.0804902285524859E-2</v>
      </c>
      <c r="G20" s="207">
        <f t="shared" ref="G20" si="48">(G19-F19)/F19</f>
        <v>-3.5201640464798394E-2</v>
      </c>
      <c r="H20" s="207">
        <f t="shared" ref="H20" si="49">(H19-G19)/G19</f>
        <v>-4.6138859369465227E-2</v>
      </c>
      <c r="I20" s="207">
        <f t="shared" ref="I20" si="50">(I19-H19)/H19</f>
        <v>-4.0479064153746087E-2</v>
      </c>
      <c r="J20" s="207">
        <f t="shared" ref="J20" si="51">(J19-I19)/I19</f>
        <v>-3.7832607643928422E-2</v>
      </c>
      <c r="K20" s="207">
        <f t="shared" ref="K20" si="52">(K19-J19)/J19</f>
        <v>1.4078841512469604E-3</v>
      </c>
      <c r="L20" s="207">
        <f t="shared" ref="L20" si="53">(L19-K19)/K19</f>
        <v>-5.1717212291624827E-2</v>
      </c>
      <c r="M20" s="123">
        <v>0</v>
      </c>
      <c r="N20" s="123">
        <v>0</v>
      </c>
      <c r="O20" s="123">
        <v>0</v>
      </c>
      <c r="P20" s="123">
        <v>0</v>
      </c>
      <c r="Q20" s="123">
        <v>0</v>
      </c>
      <c r="R20" s="117"/>
      <c r="S20" s="117"/>
      <c r="T20" s="117"/>
      <c r="U20" s="118"/>
      <c r="V20" s="119"/>
      <c r="W20" s="119"/>
      <c r="X20" s="117"/>
      <c r="Y20" s="117"/>
      <c r="Z20" s="117"/>
      <c r="AA20" s="117"/>
      <c r="AB20" s="117"/>
      <c r="AC20" s="120"/>
    </row>
    <row r="21" spans="1:29" outlineLevel="2" x14ac:dyDescent="0.15">
      <c r="A21" s="206"/>
      <c r="B21" s="115"/>
      <c r="C21" s="198"/>
      <c r="D21" s="207"/>
      <c r="E21" s="207"/>
      <c r="F21" s="207"/>
      <c r="G21" s="207"/>
      <c r="H21" s="207"/>
      <c r="I21" s="207"/>
      <c r="J21" s="207"/>
      <c r="K21" s="207"/>
      <c r="L21" s="207"/>
      <c r="M21" s="123"/>
      <c r="N21" s="123"/>
      <c r="O21" s="123"/>
      <c r="P21" s="117"/>
      <c r="Q21" s="117"/>
      <c r="R21" s="117"/>
      <c r="S21" s="117"/>
      <c r="T21" s="117"/>
      <c r="U21" s="118"/>
      <c r="V21" s="119"/>
      <c r="W21" s="119"/>
      <c r="X21" s="117"/>
      <c r="Y21" s="117"/>
      <c r="Z21" s="117"/>
      <c r="AA21" s="117"/>
      <c r="AB21" s="117"/>
      <c r="AC21" s="120"/>
    </row>
    <row r="22" spans="1:29" ht="15" outlineLevel="2" x14ac:dyDescent="0.15">
      <c r="A22" s="202" t="s">
        <v>260</v>
      </c>
      <c r="B22" s="122"/>
      <c r="C22" s="197">
        <v>2514.5</v>
      </c>
      <c r="D22" s="197">
        <v>2521.7999999999997</v>
      </c>
      <c r="E22" s="197">
        <v>2469.7999999999997</v>
      </c>
      <c r="F22" s="197">
        <v>2513.6999999999998</v>
      </c>
      <c r="G22" s="197">
        <v>2500.1</v>
      </c>
      <c r="H22" s="197">
        <v>2431.6999999999998</v>
      </c>
      <c r="I22" s="197">
        <v>2437.4</v>
      </c>
      <c r="J22" s="197">
        <v>3559.7999999999997</v>
      </c>
      <c r="K22" s="197">
        <v>2289.8999999999996</v>
      </c>
      <c r="L22" s="197">
        <v>2106.5</v>
      </c>
      <c r="M22" s="252">
        <f>M24*M151</f>
        <v>2166.9448393244011</v>
      </c>
      <c r="N22" s="252">
        <f>N24*N151</f>
        <v>2231.3760787422843</v>
      </c>
      <c r="O22" s="252">
        <f>O24*O151</f>
        <v>2307.966420611207</v>
      </c>
      <c r="P22" s="252">
        <f>P24*P151</f>
        <v>2386.4072572096557</v>
      </c>
      <c r="Q22" s="252">
        <f>Q24*Q151</f>
        <v>2458.4565177565783</v>
      </c>
      <c r="R22" s="117"/>
      <c r="S22" s="117"/>
      <c r="T22" s="117"/>
      <c r="U22" s="118"/>
      <c r="V22" s="119"/>
      <c r="W22" s="119"/>
      <c r="X22" s="117"/>
      <c r="Y22" s="117"/>
      <c r="Z22" s="117"/>
      <c r="AA22" s="117"/>
      <c r="AB22" s="117"/>
      <c r="AC22" s="120"/>
    </row>
    <row r="23" spans="1:29" ht="15" outlineLevel="2" x14ac:dyDescent="0.15">
      <c r="A23" s="206" t="s">
        <v>272</v>
      </c>
      <c r="B23" s="115"/>
      <c r="C23" s="198"/>
      <c r="D23" s="207">
        <f>(D22-C22)/C22</f>
        <v>2.9031616623582134E-3</v>
      </c>
      <c r="E23" s="207">
        <f t="shared" ref="E23" si="54">(E22-D22)/D22</f>
        <v>-2.0620191926401778E-2</v>
      </c>
      <c r="F23" s="207">
        <f t="shared" ref="F23" si="55">(F22-E22)/E22</f>
        <v>1.7774718600696453E-2</v>
      </c>
      <c r="G23" s="207">
        <f t="shared" ref="G23" si="56">(G22-F22)/F22</f>
        <v>-5.4103512750128934E-3</v>
      </c>
      <c r="H23" s="207">
        <f t="shared" ref="H23" si="57">(H22-G22)/G22</f>
        <v>-2.7358905643774287E-2</v>
      </c>
      <c r="I23" s="207">
        <f t="shared" ref="I23" si="58">(I22-H22)/H22</f>
        <v>2.3440391495662596E-3</v>
      </c>
      <c r="J23" s="207">
        <f t="shared" ref="J23" si="59">(J22-I22)/I22</f>
        <v>0.4604906867974069</v>
      </c>
      <c r="K23" s="207">
        <f t="shared" ref="K23" si="60">(K22-J22)/J22</f>
        <v>-0.35673352435530092</v>
      </c>
      <c r="L23" s="207">
        <f t="shared" ref="L23" si="61">(L22-K22)/K22</f>
        <v>-8.009083366085841E-2</v>
      </c>
      <c r="M23" s="224">
        <f t="shared" ref="M23" si="62">(M22-L22)/L22</f>
        <v>2.8694440695182091E-2</v>
      </c>
      <c r="N23" s="224">
        <f t="shared" ref="N23" si="63">(N22-M22)/M22</f>
        <v>2.9733677686955475E-2</v>
      </c>
      <c r="O23" s="224">
        <f t="shared" ref="O23" si="64">(O22-N22)/N22</f>
        <v>3.4324264116021554E-2</v>
      </c>
      <c r="P23" s="224">
        <f t="shared" ref="P23" si="65">(P22-O22)/O22</f>
        <v>3.398699214075894E-2</v>
      </c>
      <c r="Q23" s="224">
        <f t="shared" ref="Q23" si="66">(Q22-P22)/P22</f>
        <v>3.019151920915935E-2</v>
      </c>
      <c r="R23" s="117"/>
      <c r="S23" s="117"/>
      <c r="T23" s="117"/>
      <c r="U23" s="118"/>
      <c r="V23" s="119"/>
      <c r="W23" s="119"/>
      <c r="X23" s="117"/>
      <c r="Y23" s="117"/>
      <c r="Z23" s="117"/>
      <c r="AA23" s="117"/>
      <c r="AB23" s="117"/>
      <c r="AC23" s="120"/>
    </row>
    <row r="24" spans="1:29" ht="15" outlineLevel="2" x14ac:dyDescent="0.15">
      <c r="A24" s="206" t="s">
        <v>524</v>
      </c>
      <c r="B24" s="201"/>
      <c r="C24" s="292">
        <f t="shared" ref="C24:L24" si="67">C22/C151</f>
        <v>5.140560442728085E-2</v>
      </c>
      <c r="D24" s="292">
        <f t="shared" si="67"/>
        <v>4.8732883197996416E-2</v>
      </c>
      <c r="E24" s="292">
        <f t="shared" si="67"/>
        <v>4.9372597388837688E-2</v>
      </c>
      <c r="F24" s="292">
        <f t="shared" si="67"/>
        <v>4.9162052692207643E-2</v>
      </c>
      <c r="G24" s="292">
        <f t="shared" si="67"/>
        <v>4.7132569187844052E-2</v>
      </c>
      <c r="H24" s="292">
        <f t="shared" si="67"/>
        <v>4.7955336083742868E-2</v>
      </c>
      <c r="I24" s="292">
        <f t="shared" si="67"/>
        <v>4.371320094191241E-2</v>
      </c>
      <c r="J24" s="292">
        <f t="shared" si="67"/>
        <v>6.7569542646179537E-2</v>
      </c>
      <c r="K24" s="292">
        <f t="shared" si="67"/>
        <v>4.3909622763435678E-2</v>
      </c>
      <c r="L24" s="292">
        <f t="shared" si="67"/>
        <v>4.8190097524037856E-2</v>
      </c>
      <c r="M24" s="490">
        <f>L24</f>
        <v>4.8190097524037856E-2</v>
      </c>
      <c r="N24" s="490">
        <v>4.8000000000000001E-2</v>
      </c>
      <c r="O24" s="490">
        <v>4.8000000000000001E-2</v>
      </c>
      <c r="P24" s="490">
        <f>O24</f>
        <v>4.8000000000000001E-2</v>
      </c>
      <c r="Q24" s="490">
        <f t="shared" ref="Q24" si="68">P24</f>
        <v>4.8000000000000001E-2</v>
      </c>
      <c r="R24" s="117"/>
      <c r="S24" s="117"/>
      <c r="T24" s="117"/>
      <c r="U24" s="118"/>
      <c r="V24" s="119"/>
      <c r="W24" s="119"/>
      <c r="X24" s="117"/>
      <c r="Y24" s="117"/>
      <c r="Z24" s="117"/>
      <c r="AA24" s="117"/>
      <c r="AB24" s="117"/>
      <c r="AC24" s="120"/>
    </row>
    <row r="25" spans="1:29" ht="15" outlineLevel="2" x14ac:dyDescent="0.15">
      <c r="A25" s="206" t="s">
        <v>272</v>
      </c>
      <c r="B25" s="115"/>
      <c r="C25" s="198"/>
      <c r="D25" s="207">
        <f>(D24-C24)/C24</f>
        <v>-5.1992798432422029E-2</v>
      </c>
      <c r="E25" s="207">
        <f t="shared" ref="E25" si="69">(E24-D24)/D24</f>
        <v>1.3126951431176022E-2</v>
      </c>
      <c r="F25" s="207">
        <f t="shared" ref="F25" si="70">(F24-E24)/E24</f>
        <v>-4.2644038953811641E-3</v>
      </c>
      <c r="G25" s="207">
        <f t="shared" ref="G25" si="71">(G24-F24)/F24</f>
        <v>-4.1281504600097205E-2</v>
      </c>
      <c r="H25" s="207">
        <f t="shared" ref="H25" si="72">(H24-G24)/G24</f>
        <v>1.7456440632797408E-2</v>
      </c>
      <c r="I25" s="207">
        <f t="shared" ref="I25" si="73">(I24-H24)/H24</f>
        <v>-8.8460127449061218E-2</v>
      </c>
      <c r="J25" s="207">
        <f t="shared" ref="J25" si="74">(J24-I24)/I24</f>
        <v>0.54574684969806364</v>
      </c>
      <c r="K25" s="207">
        <f t="shared" ref="K25" si="75">(K24-J24)/J24</f>
        <v>-0.35015657878041917</v>
      </c>
      <c r="L25" s="207">
        <f>(L24-K24)/K24</f>
        <v>9.7483751651963754E-2</v>
      </c>
      <c r="M25" s="224">
        <f t="shared" ref="M25" si="76">(M24-L24)/L24</f>
        <v>0</v>
      </c>
      <c r="N25" s="224">
        <f t="shared" ref="N25" si="77">(N24-M24)/M24</f>
        <v>-3.9447424638024819E-3</v>
      </c>
      <c r="O25" s="224">
        <f t="shared" ref="O25" si="78">(O24-N24)/N24</f>
        <v>0</v>
      </c>
      <c r="P25" s="224">
        <f t="shared" ref="P25" si="79">(P24-O24)/O24</f>
        <v>0</v>
      </c>
      <c r="Q25" s="224">
        <f t="shared" ref="Q25" si="80">(Q24-P24)/P24</f>
        <v>0</v>
      </c>
      <c r="R25" s="117"/>
      <c r="S25" s="117"/>
      <c r="T25" s="117"/>
      <c r="U25" s="118"/>
      <c r="V25" s="119"/>
      <c r="W25" s="119"/>
      <c r="X25" s="117"/>
      <c r="Y25" s="117"/>
      <c r="Z25" s="117"/>
      <c r="AA25" s="117"/>
      <c r="AB25" s="117"/>
      <c r="AC25" s="120"/>
    </row>
    <row r="26" spans="1:29" outlineLevel="2" x14ac:dyDescent="0.15">
      <c r="A26" s="206"/>
      <c r="B26" s="115"/>
      <c r="C26" s="198"/>
      <c r="D26" s="207"/>
      <c r="E26" s="207"/>
      <c r="F26" s="207"/>
      <c r="G26" s="207"/>
      <c r="H26" s="207"/>
      <c r="I26" s="207"/>
      <c r="J26" s="207"/>
      <c r="K26" s="207"/>
      <c r="L26" s="207"/>
      <c r="M26" s="491"/>
      <c r="N26" s="491"/>
      <c r="O26" s="491"/>
      <c r="P26" s="117"/>
      <c r="Q26" s="117"/>
      <c r="R26" s="117"/>
      <c r="S26" s="117"/>
      <c r="T26" s="117"/>
      <c r="U26" s="118"/>
      <c r="V26" s="119"/>
      <c r="W26" s="119"/>
      <c r="X26" s="117"/>
      <c r="Y26" s="117"/>
      <c r="Z26" s="117"/>
      <c r="AA26" s="117"/>
      <c r="AB26" s="117"/>
      <c r="AC26" s="120"/>
    </row>
    <row r="27" spans="1:29" outlineLevel="2" x14ac:dyDescent="0.15">
      <c r="A27" s="206"/>
      <c r="B27" s="115"/>
      <c r="C27" s="198"/>
      <c r="D27" s="207"/>
      <c r="E27" s="207"/>
      <c r="F27" s="207"/>
      <c r="G27" s="207"/>
      <c r="H27" s="207"/>
      <c r="I27" s="207"/>
      <c r="J27" s="207"/>
      <c r="K27" s="207"/>
      <c r="L27" s="207"/>
      <c r="M27" s="123"/>
      <c r="N27" s="123"/>
      <c r="O27" s="123"/>
      <c r="P27" s="117"/>
      <c r="Q27" s="117"/>
      <c r="R27" s="117"/>
      <c r="S27" s="117"/>
      <c r="T27" s="117"/>
      <c r="U27" s="118"/>
      <c r="V27" s="119"/>
      <c r="W27" s="119"/>
      <c r="X27" s="117"/>
      <c r="Y27" s="117"/>
      <c r="Z27" s="117"/>
      <c r="AA27" s="117"/>
      <c r="AB27" s="117"/>
      <c r="AC27" s="120"/>
    </row>
    <row r="28" spans="1:29" ht="15" outlineLevel="2" x14ac:dyDescent="0.15">
      <c r="A28" s="202" t="s">
        <v>261</v>
      </c>
      <c r="B28" s="124"/>
      <c r="C28" s="199">
        <v>229.39999999999998</v>
      </c>
      <c r="D28" s="199">
        <v>205.5</v>
      </c>
      <c r="E28" s="199">
        <v>179.1</v>
      </c>
      <c r="F28" s="199">
        <v>175.1</v>
      </c>
      <c r="G28" s="199">
        <v>189.6</v>
      </c>
      <c r="H28" s="199">
        <v>180.7</v>
      </c>
      <c r="I28" s="199">
        <v>195.89999999999998</v>
      </c>
      <c r="J28" s="199">
        <v>224.2</v>
      </c>
      <c r="K28" s="199">
        <v>242.9</v>
      </c>
      <c r="L28" s="199">
        <v>261.10000000000002</v>
      </c>
      <c r="M28" s="134">
        <f>M30*M11</f>
        <v>244.78226193147481</v>
      </c>
      <c r="N28" s="134">
        <f t="shared" ref="N28:Q28" si="81">N30*N11</f>
        <v>275.42470775422106</v>
      </c>
      <c r="O28" s="134">
        <f t="shared" si="81"/>
        <v>285.88768176913158</v>
      </c>
      <c r="P28" s="134">
        <f t="shared" si="81"/>
        <v>288.45521276327258</v>
      </c>
      <c r="Q28" s="134">
        <f t="shared" si="81"/>
        <v>284.79353745996275</v>
      </c>
      <c r="R28" s="117"/>
      <c r="S28" s="117"/>
      <c r="T28" s="117"/>
      <c r="U28" s="118"/>
      <c r="V28" s="119"/>
      <c r="W28" s="119"/>
      <c r="X28" s="117"/>
      <c r="Y28" s="117"/>
      <c r="Z28" s="117"/>
      <c r="AA28" s="117"/>
      <c r="AB28" s="117"/>
      <c r="AC28" s="120"/>
    </row>
    <row r="29" spans="1:29" ht="15" outlineLevel="2" x14ac:dyDescent="0.15">
      <c r="A29" s="206" t="s">
        <v>272</v>
      </c>
      <c r="B29" s="115"/>
      <c r="C29" s="198"/>
      <c r="D29" s="207">
        <f>(D28-C28)/C28</f>
        <v>-0.10418482999128152</v>
      </c>
      <c r="E29" s="207">
        <f t="shared" ref="E29" si="82">(E28-D28)/D28</f>
        <v>-0.12846715328467156</v>
      </c>
      <c r="F29" s="207">
        <f t="shared" ref="F29" si="83">(F28-E28)/E28</f>
        <v>-2.2333891680625349E-2</v>
      </c>
      <c r="G29" s="207">
        <f t="shared" ref="G29" si="84">(G28-F28)/F28</f>
        <v>8.2809822958309534E-2</v>
      </c>
      <c r="H29" s="207">
        <f t="shared" ref="H29" si="85">(H28-G28)/G28</f>
        <v>-4.6940928270042225E-2</v>
      </c>
      <c r="I29" s="207">
        <f t="shared" ref="I29" si="86">(I28-H28)/H28</f>
        <v>8.4117321527393416E-2</v>
      </c>
      <c r="J29" s="207">
        <f t="shared" ref="J29" si="87">(J28-I28)/I28</f>
        <v>0.14446145992853504</v>
      </c>
      <c r="K29" s="207">
        <f t="shared" ref="K29" si="88">(K28-J28)/J28</f>
        <v>8.3407671721677151E-2</v>
      </c>
      <c r="L29" s="207">
        <f t="shared" ref="L29" si="89">(L28-K28)/K28</f>
        <v>7.4927953890489979E-2</v>
      </c>
      <c r="M29" s="492">
        <v>0.02</v>
      </c>
      <c r="N29" s="492">
        <v>0</v>
      </c>
      <c r="O29" s="492">
        <v>0</v>
      </c>
      <c r="P29" s="492">
        <v>0</v>
      </c>
      <c r="Q29" s="492">
        <v>0</v>
      </c>
      <c r="R29" s="117"/>
      <c r="S29" s="117"/>
      <c r="T29" s="117"/>
      <c r="U29" s="118"/>
      <c r="V29" s="119"/>
      <c r="W29" s="119"/>
      <c r="X29" s="117"/>
      <c r="Y29" s="117"/>
      <c r="Z29" s="117"/>
      <c r="AA29" s="117"/>
      <c r="AB29" s="117"/>
      <c r="AC29" s="120"/>
    </row>
    <row r="30" spans="1:29" ht="15" outlineLevel="2" x14ac:dyDescent="0.15">
      <c r="A30" s="206" t="s">
        <v>525</v>
      </c>
      <c r="B30" s="201"/>
      <c r="C30" s="292">
        <f>C28/C11</f>
        <v>3.0086429630018226E-2</v>
      </c>
      <c r="D30" s="292">
        <f t="shared" ref="D30:L30" si="90">D28/D11</f>
        <v>2.6355614836095009E-2</v>
      </c>
      <c r="E30" s="292">
        <f t="shared" si="90"/>
        <v>2.2159259625853706E-2</v>
      </c>
      <c r="F30" s="292">
        <f t="shared" si="90"/>
        <v>2.0950740036134341E-2</v>
      </c>
      <c r="G30" s="292">
        <f t="shared" si="90"/>
        <v>2.2053948424468714E-2</v>
      </c>
      <c r="H30" s="292">
        <f t="shared" si="90"/>
        <v>2.0108834755900779E-2</v>
      </c>
      <c r="I30" s="292">
        <f t="shared" si="90"/>
        <v>2.0916972751345346E-2</v>
      </c>
      <c r="J30" s="292">
        <f t="shared" si="90"/>
        <v>2.390676149753148E-2</v>
      </c>
      <c r="K30" s="292">
        <f t="shared" si="90"/>
        <v>2.5619660373378338E-2</v>
      </c>
      <c r="L30" s="292">
        <f t="shared" si="90"/>
        <v>2.7131782945736437E-2</v>
      </c>
      <c r="M30" s="490">
        <f>AVERAGE(I30:L30)</f>
        <v>2.4393794391997899E-2</v>
      </c>
      <c r="N30" s="490">
        <f t="shared" ref="N30:Q30" si="91">AVERAGE(J30:M30)</f>
        <v>2.526299980216104E-2</v>
      </c>
      <c r="O30" s="490">
        <f t="shared" si="91"/>
        <v>2.5602059378318429E-2</v>
      </c>
      <c r="P30" s="490">
        <f t="shared" si="91"/>
        <v>2.559765912955345E-2</v>
      </c>
      <c r="Q30" s="490">
        <f t="shared" si="91"/>
        <v>2.5214128175507704E-2</v>
      </c>
      <c r="R30" s="117"/>
      <c r="S30" s="117"/>
      <c r="T30" s="117"/>
      <c r="U30" s="118"/>
      <c r="V30" s="119"/>
      <c r="W30" s="119"/>
      <c r="X30" s="117"/>
      <c r="Y30" s="117"/>
      <c r="Z30" s="117"/>
      <c r="AA30" s="117"/>
      <c r="AB30" s="117"/>
      <c r="AC30" s="120"/>
    </row>
    <row r="31" spans="1:29" ht="15" outlineLevel="2" x14ac:dyDescent="0.15">
      <c r="A31" s="206" t="s">
        <v>272</v>
      </c>
      <c r="B31" s="115"/>
      <c r="C31" s="198"/>
      <c r="D31" s="207">
        <f t="shared" ref="D31:L31" si="92">(D30-C30)/C30</f>
        <v>-0.12400324132182372</v>
      </c>
      <c r="E31" s="207">
        <f t="shared" si="92"/>
        <v>-0.15922053939315564</v>
      </c>
      <c r="F31" s="207">
        <f t="shared" si="92"/>
        <v>-5.4537904700992727E-2</v>
      </c>
      <c r="G31" s="207">
        <f t="shared" si="92"/>
        <v>5.2657251554438546E-2</v>
      </c>
      <c r="H31" s="207">
        <f t="shared" si="92"/>
        <v>-8.8197978481252104E-2</v>
      </c>
      <c r="I31" s="207">
        <f t="shared" si="92"/>
        <v>4.0188206092221519E-2</v>
      </c>
      <c r="J31" s="207">
        <f t="shared" si="92"/>
        <v>0.14293601572884562</v>
      </c>
      <c r="K31" s="207">
        <f t="shared" si="92"/>
        <v>7.164913892765129E-2</v>
      </c>
      <c r="L31" s="207">
        <f t="shared" si="92"/>
        <v>5.9021960100976288E-2</v>
      </c>
      <c r="M31" s="492">
        <v>0</v>
      </c>
      <c r="N31" s="492">
        <v>0</v>
      </c>
      <c r="O31" s="492">
        <v>0</v>
      </c>
      <c r="P31" s="492">
        <v>0</v>
      </c>
      <c r="Q31" s="492">
        <v>0</v>
      </c>
      <c r="R31" s="117"/>
      <c r="S31" s="117"/>
      <c r="T31" s="117"/>
      <c r="U31" s="118"/>
      <c r="V31" s="119"/>
      <c r="W31" s="119"/>
      <c r="X31" s="117"/>
      <c r="Y31" s="117"/>
      <c r="Z31" s="117"/>
      <c r="AA31" s="117"/>
      <c r="AB31" s="117"/>
      <c r="AC31" s="120"/>
    </row>
    <row r="32" spans="1:29" outlineLevel="2" x14ac:dyDescent="0.15">
      <c r="A32" s="206"/>
      <c r="B32" s="115"/>
      <c r="C32" s="198"/>
      <c r="D32" s="207"/>
      <c r="E32" s="207"/>
      <c r="F32" s="207"/>
      <c r="G32" s="207"/>
      <c r="H32" s="207"/>
      <c r="I32" s="207"/>
      <c r="J32" s="207"/>
      <c r="K32" s="207"/>
      <c r="L32" s="207"/>
      <c r="M32" s="123"/>
      <c r="N32" s="123"/>
      <c r="O32" s="123"/>
      <c r="P32" s="117"/>
      <c r="Q32" s="117"/>
      <c r="R32" s="117"/>
      <c r="S32" s="117"/>
      <c r="T32" s="117"/>
      <c r="U32" s="118"/>
      <c r="V32" s="119"/>
      <c r="W32" s="119"/>
      <c r="X32" s="117"/>
      <c r="Y32" s="117"/>
      <c r="Z32" s="117"/>
      <c r="AA32" s="117"/>
      <c r="AB32" s="117"/>
      <c r="AC32" s="120"/>
    </row>
    <row r="34" spans="1:29" outlineLevel="2" x14ac:dyDescent="0.15">
      <c r="A34" s="125"/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9"/>
      <c r="N34" s="129"/>
      <c r="O34" s="129"/>
      <c r="P34" s="117"/>
      <c r="Q34" s="117"/>
      <c r="R34" s="117"/>
      <c r="S34" s="117"/>
      <c r="T34" s="117"/>
      <c r="U34" s="118"/>
      <c r="V34" s="119"/>
      <c r="W34" s="119"/>
      <c r="X34" s="117"/>
      <c r="Y34" s="117"/>
      <c r="Z34" s="117"/>
      <c r="AA34" s="117"/>
      <c r="AB34" s="117"/>
      <c r="AC34" s="120"/>
    </row>
    <row r="35" spans="1:29" outlineLevel="2" x14ac:dyDescent="0.15">
      <c r="B35" s="11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29"/>
      <c r="N35" s="129"/>
      <c r="O35" s="129"/>
      <c r="P35" s="117"/>
      <c r="Q35" s="117"/>
      <c r="R35" s="117"/>
      <c r="S35" s="117"/>
      <c r="T35" s="117"/>
      <c r="U35" s="118"/>
      <c r="V35" s="119"/>
      <c r="W35" s="119"/>
      <c r="X35" s="117"/>
      <c r="Y35" s="117"/>
      <c r="Z35" s="117"/>
      <c r="AA35" s="117"/>
      <c r="AB35" s="117"/>
      <c r="AC35" s="120"/>
    </row>
    <row r="36" spans="1:29" outlineLevel="2" x14ac:dyDescent="0.15">
      <c r="B36" s="111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9"/>
      <c r="N36" s="129"/>
      <c r="O36" s="129"/>
      <c r="P36" s="117"/>
      <c r="Q36" s="117"/>
      <c r="R36" s="117"/>
      <c r="S36" s="117"/>
      <c r="T36" s="117"/>
      <c r="U36" s="118"/>
      <c r="V36" s="119"/>
      <c r="W36" s="119"/>
      <c r="X36" s="117"/>
      <c r="Y36" s="117"/>
      <c r="Z36" s="117"/>
      <c r="AA36" s="117"/>
      <c r="AB36" s="117"/>
      <c r="AC36" s="120"/>
    </row>
    <row r="37" spans="1:29" outlineLevel="2" x14ac:dyDescent="0.15">
      <c r="A37" s="125" t="s">
        <v>73</v>
      </c>
      <c r="B37" s="126" t="e">
        <f>B22+#REF!+#REF!</f>
        <v>#REF!</v>
      </c>
      <c r="C37" s="111">
        <f t="shared" ref="C37:L37" si="93">C28+C22+C11</f>
        <v>10368.6</v>
      </c>
      <c r="D37" s="111">
        <f t="shared" si="93"/>
        <v>10524.5</v>
      </c>
      <c r="E37" s="111">
        <f t="shared" si="93"/>
        <v>10731.3</v>
      </c>
      <c r="F37" s="111">
        <f t="shared" si="93"/>
        <v>11046.5</v>
      </c>
      <c r="G37" s="111">
        <f t="shared" si="93"/>
        <v>11286.8</v>
      </c>
      <c r="H37" s="111">
        <f t="shared" si="93"/>
        <v>11598.5</v>
      </c>
      <c r="I37" s="111">
        <f t="shared" si="93"/>
        <v>11998.900000000001</v>
      </c>
      <c r="J37" s="111">
        <f t="shared" si="93"/>
        <v>13162.1</v>
      </c>
      <c r="K37" s="111">
        <f t="shared" si="93"/>
        <v>12013.8</v>
      </c>
      <c r="L37" s="111">
        <f t="shared" si="93"/>
        <v>11991</v>
      </c>
      <c r="M37" s="111">
        <f>M28+M11+M22</f>
        <v>12446.339101255875</v>
      </c>
      <c r="N37" s="111">
        <f>N28+N11+N22</f>
        <v>13409.097026496504</v>
      </c>
      <c r="O37" s="111">
        <f t="shared" ref="O37:Q37" si="94">O28+O11+O22</f>
        <v>13760.443381180337</v>
      </c>
      <c r="P37" s="111">
        <f t="shared" si="94"/>
        <v>13943.674641560927</v>
      </c>
      <c r="Q37" s="111">
        <f t="shared" si="94"/>
        <v>14038.248457604421</v>
      </c>
      <c r="R37" s="117"/>
      <c r="S37" s="117"/>
      <c r="T37" s="117"/>
      <c r="U37" s="118"/>
      <c r="V37" s="119"/>
      <c r="W37" s="119"/>
      <c r="X37" s="117"/>
      <c r="Y37" s="117"/>
      <c r="Z37" s="117"/>
      <c r="AA37" s="117"/>
      <c r="AB37" s="117"/>
      <c r="AC37" s="120"/>
    </row>
    <row r="38" spans="1:29" outlineLevel="2" collapsed="1" x14ac:dyDescent="0.15">
      <c r="A38" s="128" t="s">
        <v>74</v>
      </c>
      <c r="C38" s="138"/>
      <c r="D38" s="138">
        <f t="shared" ref="D38:L38" si="95">D37/C37-1</f>
        <v>1.5035781108346358E-2</v>
      </c>
      <c r="E38" s="138">
        <f t="shared" si="95"/>
        <v>1.9649389519692084E-2</v>
      </c>
      <c r="F38" s="138">
        <f t="shared" si="95"/>
        <v>2.9372023892725085E-2</v>
      </c>
      <c r="G38" s="138">
        <f t="shared" si="95"/>
        <v>2.1753496582627818E-2</v>
      </c>
      <c r="H38" s="138">
        <f t="shared" si="95"/>
        <v>2.7616330580855664E-2</v>
      </c>
      <c r="I38" s="138">
        <f t="shared" si="95"/>
        <v>3.4521705392938973E-2</v>
      </c>
      <c r="J38" s="138">
        <f t="shared" si="95"/>
        <v>9.694221970347261E-2</v>
      </c>
      <c r="K38" s="138">
        <f t="shared" si="95"/>
        <v>-8.7242917163674605E-2</v>
      </c>
      <c r="L38" s="138">
        <f t="shared" si="95"/>
        <v>-1.8978175098636196E-3</v>
      </c>
      <c r="M38" s="138">
        <f>M37/L37-1</f>
        <v>3.7973405158525209E-2</v>
      </c>
      <c r="N38" s="138">
        <f t="shared" ref="N38:O38" si="96">N37/M37-1</f>
        <v>7.7352699248205647E-2</v>
      </c>
      <c r="O38" s="138">
        <f t="shared" si="96"/>
        <v>2.6202089073527501E-2</v>
      </c>
      <c r="P38" s="138">
        <f t="shared" ref="P38" si="97">P37/O37-1</f>
        <v>1.3315796250518153E-2</v>
      </c>
      <c r="Q38" s="138">
        <f t="shared" ref="Q38" si="98">Q37/P37-1</f>
        <v>6.782560442252672E-3</v>
      </c>
      <c r="R38" s="117"/>
      <c r="S38" s="117"/>
      <c r="T38" s="117"/>
      <c r="U38" s="118"/>
      <c r="V38" s="119" t="s">
        <v>78</v>
      </c>
      <c r="W38" s="119" t="s">
        <v>79</v>
      </c>
      <c r="X38" s="117" cm="1">
        <f t="array" ref="X38">_xll.FDSC("--",$A$1,""&amp;$V38&amp;"("&amp;$W38&amp;","&amp;D$2&amp;",ANNUAL_ROLL,+1,0,,,'CURRENCY="&amp;$E$1&amp;"')")</f>
        <v>12409.291999999999</v>
      </c>
      <c r="Y38" s="117" cm="1">
        <f t="array" ref="Y38">_xll.FDSC("--",$A$1,""&amp;$V38&amp;"("&amp;$W38&amp;","&amp;D$2&amp;",ANNUAL_ROLL,+2,0,,,'CURRENCY="&amp;$E$1&amp;"')")</f>
        <v>12843.692999999999</v>
      </c>
      <c r="Z38" s="117" cm="1">
        <f t="array" ref="Z38">_xll.FDSC("--",$A$1,""&amp;$V38&amp;"("&amp;$W38&amp;","&amp;D$2&amp;",ANNUAL_ROLL,+3,0,,,'CURRENCY="&amp;$E$1&amp;"')")</f>
        <v>13270.742</v>
      </c>
      <c r="AA38" s="117"/>
      <c r="AB38" s="117"/>
      <c r="AC38" s="120"/>
    </row>
    <row r="39" spans="1:29" outlineLevel="2" x14ac:dyDescent="0.15">
      <c r="A39" s="132"/>
      <c r="B39" s="110"/>
      <c r="C39" s="127"/>
      <c r="D39" s="127"/>
      <c r="E39" s="111"/>
      <c r="F39" s="111"/>
      <c r="G39" s="111"/>
      <c r="H39" s="111"/>
      <c r="I39" s="111"/>
      <c r="J39" s="111"/>
      <c r="K39" s="111"/>
      <c r="L39" s="111"/>
      <c r="M39" s="126"/>
      <c r="N39" s="126"/>
      <c r="O39" s="126"/>
      <c r="P39" s="117"/>
      <c r="Q39" s="117"/>
      <c r="R39" s="117"/>
      <c r="S39" s="117"/>
      <c r="T39" s="117"/>
      <c r="U39" s="118"/>
      <c r="V39" s="119"/>
      <c r="W39" s="119"/>
      <c r="X39" s="117"/>
      <c r="Y39" s="117"/>
      <c r="Z39" s="117"/>
      <c r="AA39" s="117"/>
      <c r="AB39" s="117"/>
      <c r="AC39" s="120"/>
    </row>
    <row r="40" spans="1:29" outlineLevel="2" x14ac:dyDescent="0.15">
      <c r="A40" s="125" t="s">
        <v>75</v>
      </c>
      <c r="B40" s="133" t="e">
        <f>B43-B37</f>
        <v>#REF!</v>
      </c>
      <c r="C40" s="134">
        <f>C37-C43</f>
        <v>14.800000000001091</v>
      </c>
      <c r="D40" s="134">
        <f t="shared" ref="D40:L40" si="99">D37-D43</f>
        <v>14.799999999999272</v>
      </c>
      <c r="E40" s="134">
        <f t="shared" si="99"/>
        <v>0</v>
      </c>
      <c r="F40" s="134">
        <f t="shared" si="99"/>
        <v>0</v>
      </c>
      <c r="G40" s="134">
        <f t="shared" si="99"/>
        <v>0</v>
      </c>
      <c r="H40" s="134">
        <f t="shared" si="99"/>
        <v>0</v>
      </c>
      <c r="I40" s="134">
        <f t="shared" si="99"/>
        <v>0</v>
      </c>
      <c r="J40" s="134">
        <f t="shared" si="99"/>
        <v>0</v>
      </c>
      <c r="K40" s="134">
        <f t="shared" si="99"/>
        <v>0</v>
      </c>
      <c r="L40" s="134">
        <f t="shared" si="99"/>
        <v>0</v>
      </c>
      <c r="M40" s="129"/>
      <c r="N40" s="129"/>
      <c r="O40" s="129"/>
      <c r="P40" s="117"/>
      <c r="Q40" s="117"/>
      <c r="R40" s="117"/>
      <c r="S40" s="117"/>
      <c r="T40" s="117"/>
      <c r="U40" s="118"/>
      <c r="V40" s="119"/>
      <c r="W40" s="119"/>
      <c r="X40" s="117"/>
      <c r="Y40" s="117"/>
      <c r="Z40" s="117"/>
      <c r="AA40" s="117"/>
      <c r="AB40" s="117"/>
      <c r="AC40" s="120"/>
    </row>
    <row r="41" spans="1:29" outlineLevel="2" x14ac:dyDescent="0.15">
      <c r="A41" s="128" t="s">
        <v>76</v>
      </c>
      <c r="B41" s="135" t="e">
        <f>B40/B$37</f>
        <v>#REF!</v>
      </c>
      <c r="C41" s="136">
        <f>C40/C37</f>
        <v>1.4273865324152819E-3</v>
      </c>
      <c r="D41" s="136">
        <f t="shared" ref="D41:L41" si="100">D40/D37</f>
        <v>1.4062425768444366E-3</v>
      </c>
      <c r="E41" s="136">
        <f t="shared" si="100"/>
        <v>0</v>
      </c>
      <c r="F41" s="136">
        <f t="shared" si="100"/>
        <v>0</v>
      </c>
      <c r="G41" s="136">
        <f t="shared" si="100"/>
        <v>0</v>
      </c>
      <c r="H41" s="136">
        <f t="shared" si="100"/>
        <v>0</v>
      </c>
      <c r="I41" s="136">
        <f t="shared" si="100"/>
        <v>0</v>
      </c>
      <c r="J41" s="136">
        <f t="shared" si="100"/>
        <v>0</v>
      </c>
      <c r="K41" s="136">
        <f t="shared" si="100"/>
        <v>0</v>
      </c>
      <c r="L41" s="136">
        <f t="shared" si="100"/>
        <v>0</v>
      </c>
      <c r="M41" s="129"/>
      <c r="N41" s="129"/>
      <c r="O41" s="111"/>
      <c r="P41" s="117"/>
      <c r="Q41" s="117"/>
      <c r="R41" s="117"/>
      <c r="S41" s="117"/>
      <c r="T41" s="117"/>
      <c r="U41" s="118"/>
      <c r="V41" s="119"/>
      <c r="W41" s="119"/>
      <c r="X41" s="117"/>
      <c r="Y41" s="117"/>
      <c r="Z41" s="117"/>
      <c r="AA41" s="117"/>
      <c r="AB41" s="117"/>
      <c r="AC41" s="120"/>
    </row>
    <row r="42" spans="1:29" outlineLevel="2" x14ac:dyDescent="0.15">
      <c r="A42" s="125"/>
      <c r="B42" s="127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1"/>
      <c r="N42" s="131"/>
      <c r="O42" s="111"/>
      <c r="P42" s="111"/>
      <c r="Q42" s="111"/>
      <c r="R42" s="111"/>
      <c r="S42" s="111"/>
      <c r="T42" s="111"/>
      <c r="V42" s="119"/>
      <c r="W42" s="119"/>
      <c r="X42" s="117"/>
      <c r="Y42" s="117"/>
      <c r="Z42" s="117"/>
      <c r="AA42" s="117"/>
    </row>
    <row r="43" spans="1:29" outlineLevel="2" x14ac:dyDescent="0.15">
      <c r="A43" s="125" t="s">
        <v>77</v>
      </c>
      <c r="B43" s="137">
        <f>'Broker Actual'!E11</f>
        <v>10515.4</v>
      </c>
      <c r="C43" s="137">
        <f>'Broker Actual'!F11</f>
        <v>10353.799999999999</v>
      </c>
      <c r="D43" s="137">
        <f>'Broker Actual'!G11</f>
        <v>10509.7</v>
      </c>
      <c r="E43" s="137">
        <f>'Broker Actual'!H11</f>
        <v>10731.3</v>
      </c>
      <c r="F43" s="137">
        <f>'Broker Actual'!I11</f>
        <v>11046.5</v>
      </c>
      <c r="G43" s="137">
        <f>'Broker Actual'!J11</f>
        <v>11286.8</v>
      </c>
      <c r="H43" s="137">
        <f>'Broker Actual'!K11</f>
        <v>11598.5</v>
      </c>
      <c r="I43" s="137">
        <f>'Broker Actual'!L11</f>
        <v>11998.9</v>
      </c>
      <c r="J43" s="137">
        <f>'Broker Actual'!M11</f>
        <v>13162.1</v>
      </c>
      <c r="K43" s="137">
        <f>'Broker Actual'!N11</f>
        <v>12013.8</v>
      </c>
      <c r="L43" s="137">
        <f>'Broker Actual'!O11</f>
        <v>11991</v>
      </c>
      <c r="N43" s="77"/>
      <c r="T43" s="78"/>
      <c r="U43" s="435"/>
      <c r="V43" s="119"/>
      <c r="W43" s="119"/>
      <c r="X43" s="117"/>
      <c r="Y43" s="117"/>
      <c r="Z43" s="117"/>
      <c r="AA43" s="117"/>
      <c r="AB43" s="78"/>
      <c r="AC43" s="78"/>
    </row>
    <row r="44" spans="1:29" outlineLevel="2" x14ac:dyDescent="0.15">
      <c r="A44" s="128" t="s">
        <v>74</v>
      </c>
      <c r="C44" s="138">
        <f>C43/B43-1</f>
        <v>-1.5367936550202632E-2</v>
      </c>
      <c r="D44" s="138">
        <f t="shared" ref="D44" si="101">D43/C43-1</f>
        <v>1.5057273657980819E-2</v>
      </c>
      <c r="E44" s="138">
        <f t="shared" ref="E44" si="102">E43/D43-1</f>
        <v>2.1085283119403941E-2</v>
      </c>
      <c r="F44" s="138">
        <f t="shared" ref="F44" si="103">F43/E43-1</f>
        <v>2.9372023892725085E-2</v>
      </c>
      <c r="G44" s="138">
        <f t="shared" ref="G44" si="104">G43/F43-1</f>
        <v>2.1753496582627818E-2</v>
      </c>
      <c r="H44" s="138">
        <f t="shared" ref="H44" si="105">H43/G43-1</f>
        <v>2.7616330580855664E-2</v>
      </c>
      <c r="I44" s="138">
        <f t="shared" ref="I44" si="106">I43/H43-1</f>
        <v>3.4521705392938751E-2</v>
      </c>
      <c r="J44" s="138">
        <f t="shared" ref="J44" si="107">J43/I43-1</f>
        <v>9.6942219703472832E-2</v>
      </c>
      <c r="K44" s="138">
        <f t="shared" ref="K44" si="108">K43/J43-1</f>
        <v>-8.7242917163674605E-2</v>
      </c>
      <c r="L44" s="138">
        <f t="shared" ref="L44" si="109">L43/K43-1</f>
        <v>-1.8978175098636196E-3</v>
      </c>
      <c r="M44" s="298"/>
      <c r="N44" s="126"/>
      <c r="O44" s="126"/>
      <c r="P44" s="117"/>
      <c r="Q44" s="117"/>
      <c r="R44" s="117"/>
      <c r="S44" s="117"/>
      <c r="T44" s="117"/>
      <c r="U44" s="118"/>
      <c r="V44" s="119"/>
      <c r="W44" s="119"/>
      <c r="X44" s="117"/>
      <c r="Y44" s="117"/>
      <c r="Z44" s="117"/>
      <c r="AA44" s="117"/>
      <c r="AB44" s="117"/>
      <c r="AC44" s="120"/>
    </row>
    <row r="45" spans="1:29" outlineLevel="2" collapsed="1" x14ac:dyDescent="0.15">
      <c r="A45" s="12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17"/>
      <c r="Q45" s="117"/>
      <c r="R45" s="117"/>
      <c r="S45" s="117"/>
      <c r="T45" s="117"/>
      <c r="U45" s="118"/>
      <c r="V45" s="119"/>
      <c r="W45" s="119"/>
      <c r="X45" s="117"/>
      <c r="Y45" s="117"/>
      <c r="Z45" s="117"/>
      <c r="AA45" s="117"/>
      <c r="AB45" s="117"/>
      <c r="AC45" s="120"/>
    </row>
    <row r="46" spans="1:29" outlineLevel="2" x14ac:dyDescent="0.15">
      <c r="A46" s="78" t="str">
        <f>"Reconcile "&amp;A49&amp;" with"&amp;" above"</f>
        <v>Reconcile Revenue (Historical Data: Broker Actual) with above</v>
      </c>
      <c r="B46" s="139">
        <f t="shared" ref="B46:L46" si="110">B49-B43</f>
        <v>0</v>
      </c>
      <c r="C46" s="139">
        <f>C49-C43</f>
        <v>0</v>
      </c>
      <c r="D46" s="139">
        <f t="shared" si="110"/>
        <v>0</v>
      </c>
      <c r="E46" s="139">
        <f t="shared" si="110"/>
        <v>0</v>
      </c>
      <c r="F46" s="139">
        <f t="shared" si="110"/>
        <v>0</v>
      </c>
      <c r="G46" s="139">
        <f t="shared" si="110"/>
        <v>0</v>
      </c>
      <c r="H46" s="139">
        <f t="shared" si="110"/>
        <v>0</v>
      </c>
      <c r="I46" s="139">
        <f t="shared" si="110"/>
        <v>0</v>
      </c>
      <c r="J46" s="139">
        <f t="shared" si="110"/>
        <v>0</v>
      </c>
      <c r="K46" s="139">
        <f t="shared" si="110"/>
        <v>0</v>
      </c>
      <c r="L46" s="139">
        <f t="shared" si="110"/>
        <v>0</v>
      </c>
      <c r="M46" s="141"/>
      <c r="N46" s="141"/>
      <c r="O46" s="141"/>
      <c r="P46" s="111"/>
      <c r="Q46" s="111"/>
      <c r="R46" s="111"/>
      <c r="S46" s="111"/>
      <c r="T46" s="111"/>
      <c r="V46" s="119"/>
      <c r="W46" s="119"/>
      <c r="X46" s="117"/>
      <c r="Y46" s="117"/>
      <c r="Z46" s="117"/>
      <c r="AA46" s="117"/>
    </row>
    <row r="47" spans="1:29" outlineLevel="2" x14ac:dyDescent="0.15">
      <c r="A47" s="128" t="s">
        <v>76</v>
      </c>
      <c r="B47" s="135" t="e">
        <f>B46/B$37</f>
        <v>#REF!</v>
      </c>
      <c r="C47" s="138">
        <f>C46/C43</f>
        <v>0</v>
      </c>
      <c r="D47" s="138">
        <f t="shared" ref="D47:L47" si="111">D46/D43</f>
        <v>0</v>
      </c>
      <c r="E47" s="138">
        <f t="shared" si="111"/>
        <v>0</v>
      </c>
      <c r="F47" s="138">
        <f t="shared" si="111"/>
        <v>0</v>
      </c>
      <c r="G47" s="138">
        <f t="shared" si="111"/>
        <v>0</v>
      </c>
      <c r="H47" s="138">
        <f t="shared" si="111"/>
        <v>0</v>
      </c>
      <c r="I47" s="138">
        <f t="shared" si="111"/>
        <v>0</v>
      </c>
      <c r="J47" s="138">
        <f t="shared" si="111"/>
        <v>0</v>
      </c>
      <c r="K47" s="138">
        <f t="shared" si="111"/>
        <v>0</v>
      </c>
      <c r="L47" s="138">
        <f t="shared" si="111"/>
        <v>0</v>
      </c>
      <c r="M47" s="114"/>
      <c r="N47" s="114"/>
      <c r="O47" s="114"/>
      <c r="P47" s="111"/>
      <c r="Q47" s="111"/>
      <c r="R47" s="111"/>
      <c r="S47" s="111"/>
      <c r="T47" s="111"/>
      <c r="V47" s="119"/>
      <c r="W47" s="119"/>
      <c r="X47" s="117"/>
      <c r="Y47" s="117"/>
      <c r="Z47" s="117"/>
      <c r="AA47" s="117"/>
    </row>
    <row r="48" spans="1:29" outlineLevel="2" x14ac:dyDescent="0.15">
      <c r="L48" s="139"/>
      <c r="M48" s="114"/>
      <c r="N48" s="114"/>
      <c r="O48" s="114"/>
      <c r="P48" s="111"/>
      <c r="Q48" s="111"/>
      <c r="R48" s="111"/>
      <c r="S48" s="111"/>
      <c r="T48" s="111"/>
      <c r="V48" s="119"/>
      <c r="W48" s="119"/>
      <c r="X48" s="117"/>
      <c r="Y48" s="117"/>
      <c r="Z48" s="117"/>
      <c r="AA48" s="117"/>
    </row>
    <row r="49" spans="1:38" outlineLevel="2" x14ac:dyDescent="0.15">
      <c r="A49" s="108" t="str">
        <f>"Revenue (Historical Data: "&amp;B2&amp;")"</f>
        <v>Revenue (Historical Data: Broker Actual)</v>
      </c>
      <c r="B49" s="140">
        <f>CHOOSE(IF($B$1=2,2,1),'GAAP-IFRS'!E11,IF('Broker Actual'!E11="-",'GAAP-IFRS'!E11,'Broker Actual'!E11))</f>
        <v>10515.4</v>
      </c>
      <c r="C49" s="140">
        <f>CHOOSE(IF($B$1=2,2,1),'GAAP-IFRS'!F11,IF('Broker Actual'!F11="-",'GAAP-IFRS'!F11,'Broker Actual'!F11))</f>
        <v>10353.799999999999</v>
      </c>
      <c r="D49" s="140">
        <f>CHOOSE(IF($B$1=2,2,1),'GAAP-IFRS'!G11,IF('Broker Actual'!G11="-",'GAAP-IFRS'!G11,'Broker Actual'!G11))</f>
        <v>10509.7</v>
      </c>
      <c r="E49" s="140">
        <f>CHOOSE(IF($B$1=2,2,1),'GAAP-IFRS'!H11,IF('Broker Actual'!H11="-",'GAAP-IFRS'!H11,'Broker Actual'!H11))</f>
        <v>10731.3</v>
      </c>
      <c r="F49" s="140">
        <f>CHOOSE(IF($B$1=2,2,1),'GAAP-IFRS'!I11,IF('Broker Actual'!I11="-",'GAAP-IFRS'!I11,'Broker Actual'!I11))</f>
        <v>11046.5</v>
      </c>
      <c r="G49" s="140">
        <f>CHOOSE(IF($B$1=2,2,1),'GAAP-IFRS'!J11,IF('Broker Actual'!J11="-",'GAAP-IFRS'!J11,'Broker Actual'!J11))</f>
        <v>11286.8</v>
      </c>
      <c r="H49" s="140">
        <f>CHOOSE(IF($B$1=2,2,1),'GAAP-IFRS'!K11,IF('Broker Actual'!K11="-",'GAAP-IFRS'!K11,'Broker Actual'!K11))</f>
        <v>11598.5</v>
      </c>
      <c r="I49" s="140">
        <f>CHOOSE(IF($B$1=2,2,1),'GAAP-IFRS'!L11,IF('Broker Actual'!L11="-",'GAAP-IFRS'!L11,'Broker Actual'!L11))</f>
        <v>11998.9</v>
      </c>
      <c r="J49" s="140">
        <f>CHOOSE(IF($B$1=2,2,1),'GAAP-IFRS'!M11,IF('Broker Actual'!M11="-",'GAAP-IFRS'!M11,'Broker Actual'!M11))</f>
        <v>13162.1</v>
      </c>
      <c r="K49" s="140">
        <f>CHOOSE(IF($B$1=2,2,1),'GAAP-IFRS'!N11,IF('Broker Actual'!N11="-",'GAAP-IFRS'!N11,'Broker Actual'!N11))</f>
        <v>12013.8</v>
      </c>
      <c r="L49" s="140">
        <f>CHOOSE(IF($B$1=2,2,1),'GAAP-IFRS'!O11,IF('Broker Actual'!O11="-",'GAAP-IFRS'!O11,'Broker Actual'!O11))</f>
        <v>11991</v>
      </c>
      <c r="M49" s="126">
        <f>M37+M46</f>
        <v>12446.339101255875</v>
      </c>
      <c r="N49" s="126">
        <f t="shared" ref="N49:Q49" si="112">N37+N46</f>
        <v>13409.097026496504</v>
      </c>
      <c r="O49" s="126">
        <f t="shared" si="112"/>
        <v>13760.443381180337</v>
      </c>
      <c r="P49" s="126">
        <f t="shared" si="112"/>
        <v>13943.674641560927</v>
      </c>
      <c r="Q49" s="126">
        <f t="shared" si="112"/>
        <v>14038.248457604421</v>
      </c>
      <c r="R49" s="111"/>
      <c r="S49" s="111"/>
      <c r="T49" s="111"/>
      <c r="V49" s="119"/>
      <c r="W49" s="119"/>
      <c r="X49" s="117"/>
      <c r="Y49" s="117"/>
      <c r="Z49" s="117"/>
      <c r="AA49" s="117"/>
    </row>
    <row r="50" spans="1:38" outlineLevel="2" x14ac:dyDescent="0.15">
      <c r="A50" s="128" t="s">
        <v>74</v>
      </c>
      <c r="C50" s="138">
        <f>C49/B49-1</f>
        <v>-1.5367936550202632E-2</v>
      </c>
      <c r="D50" s="138">
        <f t="shared" ref="D50:L50" si="113">D49/C49-1</f>
        <v>1.5057273657980819E-2</v>
      </c>
      <c r="E50" s="138">
        <f t="shared" si="113"/>
        <v>2.1085283119403941E-2</v>
      </c>
      <c r="F50" s="138">
        <f t="shared" si="113"/>
        <v>2.9372023892725085E-2</v>
      </c>
      <c r="G50" s="138">
        <f t="shared" si="113"/>
        <v>2.1753496582627818E-2</v>
      </c>
      <c r="H50" s="138">
        <f t="shared" si="113"/>
        <v>2.7616330580855664E-2</v>
      </c>
      <c r="I50" s="138">
        <f t="shared" si="113"/>
        <v>3.4521705392938751E-2</v>
      </c>
      <c r="J50" s="138">
        <f t="shared" si="113"/>
        <v>9.6942219703472832E-2</v>
      </c>
      <c r="K50" s="138">
        <f t="shared" si="113"/>
        <v>-8.7242917163674605E-2</v>
      </c>
      <c r="L50" s="138">
        <f t="shared" si="113"/>
        <v>-1.8978175098636196E-3</v>
      </c>
      <c r="M50" s="138">
        <f t="shared" ref="M50" si="114">M49/L49-1</f>
        <v>3.7973405158525209E-2</v>
      </c>
      <c r="N50" s="138">
        <f t="shared" ref="N50" si="115">N49/M49-1</f>
        <v>7.7352699248205647E-2</v>
      </c>
      <c r="O50" s="138">
        <f t="shared" ref="O50" si="116">O49/N49-1</f>
        <v>2.6202089073527501E-2</v>
      </c>
      <c r="P50" s="138">
        <f t="shared" ref="P50" si="117">P49/O49-1</f>
        <v>1.3315796250518153E-2</v>
      </c>
      <c r="Q50" s="138">
        <f t="shared" ref="Q50" si="118">Q49/P49-1</f>
        <v>6.782560442252672E-3</v>
      </c>
      <c r="R50" s="111"/>
      <c r="S50" s="111"/>
      <c r="T50" s="111"/>
      <c r="V50" s="119"/>
      <c r="W50" s="119"/>
      <c r="X50" s="117"/>
      <c r="Y50" s="117"/>
      <c r="Z50" s="117"/>
      <c r="AA50" s="117"/>
    </row>
    <row r="51" spans="1:38" outlineLevel="2" x14ac:dyDescent="0.15">
      <c r="A51" s="12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14"/>
      <c r="N51" s="114"/>
      <c r="O51" s="114"/>
      <c r="P51" s="111"/>
      <c r="Q51" s="111"/>
      <c r="R51" s="111"/>
      <c r="S51" s="111"/>
      <c r="T51" s="111"/>
      <c r="V51" s="119"/>
      <c r="W51" s="119"/>
      <c r="X51" s="117"/>
      <c r="Y51" s="117"/>
      <c r="Z51" s="117"/>
      <c r="AA51" s="117"/>
    </row>
    <row r="52" spans="1:38" outlineLevel="2" x14ac:dyDescent="0.15">
      <c r="A52" s="108" t="s">
        <v>80</v>
      </c>
      <c r="B52" s="117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11"/>
      <c r="Q52" s="111"/>
      <c r="R52" s="111"/>
      <c r="S52" s="111"/>
      <c r="T52" s="111"/>
      <c r="V52" s="119"/>
      <c r="W52" s="119"/>
      <c r="X52" s="117"/>
      <c r="Y52" s="117"/>
      <c r="Z52" s="117"/>
      <c r="AA52" s="117"/>
    </row>
    <row r="53" spans="1:38" ht="14.5" customHeight="1" outlineLevel="2" x14ac:dyDescent="0.15">
      <c r="A53" s="202" t="s">
        <v>262</v>
      </c>
      <c r="B53" s="122"/>
      <c r="C53" s="198">
        <v>6595.7</v>
      </c>
      <c r="D53" s="198">
        <v>7310.8</v>
      </c>
      <c r="E53" s="198">
        <v>6782.8</v>
      </c>
      <c r="F53" s="198">
        <v>6941.8</v>
      </c>
      <c r="G53" s="198">
        <v>7055.7</v>
      </c>
      <c r="H53" s="198">
        <v>8020.4</v>
      </c>
      <c r="I53" s="198">
        <v>7496.2</v>
      </c>
      <c r="J53" s="198">
        <v>8972.9</v>
      </c>
      <c r="K53" s="198">
        <v>7598.6</v>
      </c>
      <c r="L53" s="198">
        <v>6936.7</v>
      </c>
      <c r="M53" s="225">
        <f>M55+M58</f>
        <v>6960.9752000000008</v>
      </c>
      <c r="N53" s="225">
        <f>N55+N58</f>
        <v>7504.3144160000002</v>
      </c>
      <c r="O53" s="225">
        <f>O55+O58</f>
        <v>7570.3125739200004</v>
      </c>
      <c r="P53" s="225">
        <f t="shared" ref="P53:Q53" si="119">P55+P58</f>
        <v>7637.5169996591994</v>
      </c>
      <c r="Q53" s="225">
        <f t="shared" si="119"/>
        <v>7661.0846073790926</v>
      </c>
      <c r="R53" s="111"/>
      <c r="S53" s="111"/>
      <c r="T53" s="111"/>
      <c r="V53" s="119"/>
      <c r="W53" s="119"/>
      <c r="X53" s="117"/>
      <c r="Y53" s="117"/>
      <c r="Z53" s="117"/>
      <c r="AA53" s="117"/>
    </row>
    <row r="54" spans="1:38" outlineLevel="2" x14ac:dyDescent="0.15">
      <c r="A54" s="294" t="s">
        <v>74</v>
      </c>
      <c r="B54" s="295"/>
      <c r="C54" s="296"/>
      <c r="D54" s="296">
        <f t="shared" ref="D54" si="120">D53/C53-1</f>
        <v>0.10841912154888789</v>
      </c>
      <c r="E54" s="296">
        <f t="shared" ref="E54" si="121">E53/D53-1</f>
        <v>-7.2221918257919793E-2</v>
      </c>
      <c r="F54" s="296">
        <f t="shared" ref="F54" si="122">F53/E53-1</f>
        <v>2.344164651766234E-2</v>
      </c>
      <c r="G54" s="296">
        <f t="shared" ref="G54" si="123">G53/F53-1</f>
        <v>1.6407848108559664E-2</v>
      </c>
      <c r="H54" s="296">
        <f t="shared" ref="H54" si="124">H53/G53-1</f>
        <v>0.13672633473645424</v>
      </c>
      <c r="I54" s="296">
        <f>I53/H53-1</f>
        <v>-6.5358336242581361E-2</v>
      </c>
      <c r="J54" s="296">
        <f t="shared" ref="J54" si="125">J53/I53-1</f>
        <v>0.1969931431925509</v>
      </c>
      <c r="K54" s="296">
        <f t="shared" ref="K54" si="126">K53/J53-1</f>
        <v>-0.15316118534698919</v>
      </c>
      <c r="L54" s="296">
        <f t="shared" ref="L54" si="127">L53/K53-1</f>
        <v>-8.7108151501592457E-2</v>
      </c>
      <c r="M54" s="138">
        <f t="shared" ref="M54" si="128">M53/L53-1</f>
        <v>3.4995314775039255E-3</v>
      </c>
      <c r="N54" s="138">
        <f t="shared" ref="N54" si="129">N53/M53-1</f>
        <v>7.8055042632532157E-2</v>
      </c>
      <c r="O54" s="138">
        <f t="shared" ref="O54" si="130">O53/N53-1</f>
        <v>8.7946951928459249E-3</v>
      </c>
      <c r="P54" s="138">
        <f t="shared" ref="P54" si="131">P53/O53-1</f>
        <v>8.8773647168440828E-3</v>
      </c>
      <c r="Q54" s="138">
        <f t="shared" ref="Q54" si="132">Q53/P53-1</f>
        <v>3.0857682831926248E-3</v>
      </c>
      <c r="R54" s="117"/>
      <c r="S54" s="117"/>
      <c r="T54" s="117"/>
      <c r="U54" s="118"/>
      <c r="V54" s="119"/>
      <c r="W54" s="119"/>
      <c r="X54" s="117"/>
      <c r="Y54" s="117"/>
      <c r="Z54" s="117"/>
      <c r="AA54" s="117"/>
      <c r="AB54" s="117"/>
      <c r="AC54" s="120"/>
    </row>
    <row r="55" spans="1:38" ht="15" outlineLevel="2" collapsed="1" x14ac:dyDescent="0.15">
      <c r="A55" s="205" t="s">
        <v>268</v>
      </c>
      <c r="B55" s="122"/>
      <c r="C55" s="198"/>
      <c r="D55" s="198"/>
      <c r="E55" s="198"/>
      <c r="F55" s="198"/>
      <c r="G55" s="198"/>
      <c r="H55" s="198"/>
      <c r="I55" s="198">
        <f t="shared" ref="I55:N55" si="133">I57*I13</f>
        <v>4476.3504000000003</v>
      </c>
      <c r="J55" s="198">
        <f t="shared" si="133"/>
        <v>4399.8158999999996</v>
      </c>
      <c r="K55" s="198">
        <f t="shared" si="133"/>
        <v>4661.826</v>
      </c>
      <c r="L55" s="198">
        <f t="shared" si="133"/>
        <v>4174.2861000000003</v>
      </c>
      <c r="M55" s="126">
        <f t="shared" si="133"/>
        <v>4032.8000000000006</v>
      </c>
      <c r="N55" s="126">
        <f t="shared" si="133"/>
        <v>4358.8825999999999</v>
      </c>
      <c r="O55" s="126">
        <f t="shared" ref="O55:Q55" si="134">O57*O13</f>
        <v>4387.0160670000005</v>
      </c>
      <c r="P55" s="126">
        <f t="shared" si="134"/>
        <v>4430.8862276700002</v>
      </c>
      <c r="Q55" s="126">
        <f t="shared" si="134"/>
        <v>4430.8862276700002</v>
      </c>
      <c r="R55" s="117"/>
      <c r="S55" s="117"/>
      <c r="T55" s="117"/>
      <c r="U55" s="118"/>
      <c r="V55" s="147"/>
      <c r="W55" s="147"/>
      <c r="X55" s="145"/>
      <c r="Y55" s="145"/>
      <c r="Z55" s="145"/>
      <c r="AA55" s="145"/>
      <c r="AB55" s="117"/>
      <c r="AC55" s="120"/>
    </row>
    <row r="56" spans="1:38" ht="15" outlineLevel="2" x14ac:dyDescent="0.15">
      <c r="A56" s="206" t="s">
        <v>272</v>
      </c>
      <c r="B56" s="122"/>
      <c r="C56" s="198"/>
      <c r="D56" s="198"/>
      <c r="E56" s="198"/>
      <c r="F56" s="198"/>
      <c r="G56" s="198"/>
      <c r="H56" s="198"/>
      <c r="I56" s="198"/>
      <c r="J56" s="207">
        <f>(J55-I55)/I55</f>
        <v>-1.7097522124273529E-2</v>
      </c>
      <c r="K56" s="207">
        <f t="shared" ref="K56:O56" si="135">(K55-J55)/J55</f>
        <v>5.9550241636246747E-2</v>
      </c>
      <c r="L56" s="207">
        <f t="shared" si="135"/>
        <v>-0.1045813164197891</v>
      </c>
      <c r="M56" s="224">
        <f t="shared" si="135"/>
        <v>-3.3894682015207248E-2</v>
      </c>
      <c r="N56" s="224">
        <f>(N55-M55)/M55</f>
        <v>8.0857617536202936E-2</v>
      </c>
      <c r="O56" s="224">
        <f t="shared" si="135"/>
        <v>6.4542841782434255E-3</v>
      </c>
      <c r="P56" s="224">
        <f t="shared" ref="P56" si="136">(P55-O55)/O55</f>
        <v>9.9999999999999256E-3</v>
      </c>
      <c r="Q56" s="224">
        <f t="shared" ref="Q56" si="137">(Q55-P55)/P55</f>
        <v>0</v>
      </c>
      <c r="R56" s="111"/>
      <c r="S56" s="111"/>
      <c r="T56" s="111"/>
      <c r="V56" s="119"/>
      <c r="W56" s="119"/>
      <c r="X56" s="117"/>
      <c r="Y56" s="117"/>
      <c r="Z56" s="117"/>
      <c r="AA56" s="117"/>
    </row>
    <row r="57" spans="1:38" ht="15" outlineLevel="2" x14ac:dyDescent="0.15">
      <c r="A57" s="206" t="s">
        <v>273</v>
      </c>
      <c r="B57" s="122"/>
      <c r="C57" s="198"/>
      <c r="D57" s="198"/>
      <c r="E57" s="198"/>
      <c r="F57" s="198"/>
      <c r="G57" s="198"/>
      <c r="H57" s="198"/>
      <c r="I57" s="216">
        <v>0.74399999999999999</v>
      </c>
      <c r="J57" s="216">
        <v>0.73099999999999998</v>
      </c>
      <c r="K57" s="216">
        <v>0.76700000000000002</v>
      </c>
      <c r="L57" s="216">
        <v>0.66700000000000004</v>
      </c>
      <c r="M57" s="369">
        <f>'Unum US Breakout - Base'!AO12</f>
        <v>0.61198537110945872</v>
      </c>
      <c r="N57" s="369">
        <f>'Unum US Breakout - Base'!AP12</f>
        <v>0.58845196380038689</v>
      </c>
      <c r="O57" s="369">
        <f>'Unum US Breakout - Base'!AQ12</f>
        <v>0.57499999999999996</v>
      </c>
      <c r="P57" s="369">
        <f>O57</f>
        <v>0.57499999999999996</v>
      </c>
      <c r="Q57" s="369">
        <f>P57</f>
        <v>0.57499999999999996</v>
      </c>
      <c r="R57" s="111"/>
      <c r="S57" s="111"/>
      <c r="T57" s="111"/>
      <c r="V57" s="119"/>
      <c r="W57" s="119"/>
      <c r="X57" s="117"/>
      <c r="Y57" s="117"/>
      <c r="Z57" s="117"/>
      <c r="AA57" s="117"/>
    </row>
    <row r="58" spans="1:38" ht="15" outlineLevel="2" collapsed="1" x14ac:dyDescent="0.15">
      <c r="A58" s="205" t="s">
        <v>274</v>
      </c>
      <c r="B58" s="122"/>
      <c r="C58" s="198"/>
      <c r="D58" s="198"/>
      <c r="E58" s="198"/>
      <c r="F58" s="198"/>
      <c r="G58" s="198"/>
      <c r="H58" s="198"/>
      <c r="I58" s="198">
        <f>I53-I55</f>
        <v>3019.8495999999996</v>
      </c>
      <c r="J58" s="198">
        <f t="shared" ref="J58:L58" si="138">J53-J55</f>
        <v>4573.0841</v>
      </c>
      <c r="K58" s="198">
        <f t="shared" si="138"/>
        <v>2936.7740000000003</v>
      </c>
      <c r="L58" s="198">
        <f t="shared" si="138"/>
        <v>2762.4138999999996</v>
      </c>
      <c r="M58" s="229">
        <f>(M15+M19+M17)*M60</f>
        <v>2928.1751999999997</v>
      </c>
      <c r="N58" s="229">
        <f t="shared" ref="N58:Q58" si="139">(N15+N19+N17)*N60</f>
        <v>3145.4318160000003</v>
      </c>
      <c r="O58" s="229">
        <f t="shared" si="139"/>
        <v>3183.29650692</v>
      </c>
      <c r="P58" s="229">
        <f t="shared" si="139"/>
        <v>3206.6307719891997</v>
      </c>
      <c r="Q58" s="229">
        <f t="shared" si="139"/>
        <v>3230.198379709092</v>
      </c>
      <c r="R58" s="117"/>
      <c r="S58" s="117"/>
      <c r="T58" s="117"/>
      <c r="U58" s="118"/>
      <c r="V58" s="119"/>
      <c r="W58" s="119"/>
      <c r="X58" s="117"/>
      <c r="Y58" s="117"/>
      <c r="Z58" s="117"/>
      <c r="AA58" s="117"/>
      <c r="AB58" s="117"/>
      <c r="AC58" s="120"/>
    </row>
    <row r="59" spans="1:38" ht="15" outlineLevel="2" x14ac:dyDescent="0.15">
      <c r="A59" s="206" t="s">
        <v>272</v>
      </c>
      <c r="B59" s="122"/>
      <c r="C59" s="198"/>
      <c r="D59" s="198"/>
      <c r="E59" s="198"/>
      <c r="F59" s="198"/>
      <c r="G59" s="198"/>
      <c r="H59" s="198"/>
      <c r="I59" s="198"/>
      <c r="J59" s="207">
        <f>(J58-I58)/I58</f>
        <v>0.51434167449928658</v>
      </c>
      <c r="K59" s="207">
        <f t="shared" ref="K59" si="140">(K58-J58)/J58</f>
        <v>-0.35781325342343906</v>
      </c>
      <c r="L59" s="207">
        <f t="shared" ref="L59" si="141">(L58-K58)/K58</f>
        <v>-5.9371303341694243E-2</v>
      </c>
      <c r="M59" s="224">
        <f t="shared" ref="M59" si="142">(M58-L58)/L58</f>
        <v>6.0005960728767023E-2</v>
      </c>
      <c r="N59" s="224">
        <f>(N58-M58)/M58</f>
        <v>7.4195224384114924E-2</v>
      </c>
      <c r="O59" s="224">
        <f t="shared" ref="O59" si="143">(O58-N58)/N58</f>
        <v>1.2037994505998123E-2</v>
      </c>
      <c r="P59" s="224">
        <f t="shared" ref="P59" si="144">(P58-O58)/O58</f>
        <v>7.3302204235372505E-3</v>
      </c>
      <c r="Q59" s="224">
        <f t="shared" ref="Q59" si="145">(Q58-P58)/P58</f>
        <v>7.3496480872577595E-3</v>
      </c>
      <c r="R59" s="111"/>
      <c r="S59" s="111"/>
      <c r="T59" s="111"/>
      <c r="V59" s="119"/>
      <c r="W59" s="119"/>
      <c r="X59" s="117"/>
      <c r="Y59" s="117"/>
      <c r="Z59" s="117"/>
      <c r="AA59" s="117"/>
    </row>
    <row r="60" spans="1:38" ht="15" outlineLevel="2" x14ac:dyDescent="0.15">
      <c r="A60" s="206" t="s">
        <v>273</v>
      </c>
      <c r="B60" s="122"/>
      <c r="C60" s="198"/>
      <c r="D60" s="198"/>
      <c r="E60" s="198"/>
      <c r="F60" s="198"/>
      <c r="G60" s="198"/>
      <c r="H60" s="198"/>
      <c r="I60" s="207">
        <f>I58/(I15+I17+I19)</f>
        <v>0.90171681098835454</v>
      </c>
      <c r="J60" s="207">
        <f>J58/(J15+J17+J19)</f>
        <v>1.361361068111455</v>
      </c>
      <c r="K60" s="207">
        <f>K58/(K15+K17+K19)</f>
        <v>0.86299559212459609</v>
      </c>
      <c r="L60" s="207">
        <f>L58/(L15+L17+L19)</f>
        <v>0.82090098362604358</v>
      </c>
      <c r="M60" s="299">
        <v>0.85</v>
      </c>
      <c r="N60" s="299">
        <v>0.9</v>
      </c>
      <c r="O60" s="299">
        <f t="shared" ref="O60" si="146">N60</f>
        <v>0.9</v>
      </c>
      <c r="P60" s="299">
        <f t="shared" ref="P60" si="147">O60</f>
        <v>0.9</v>
      </c>
      <c r="Q60" s="299">
        <f t="shared" ref="Q60" si="148">P60</f>
        <v>0.9</v>
      </c>
      <c r="R60" s="111"/>
      <c r="S60" s="111"/>
      <c r="T60" s="111"/>
      <c r="V60" s="147"/>
      <c r="W60" s="147"/>
      <c r="X60" s="145"/>
      <c r="Y60" s="145"/>
      <c r="Z60" s="145"/>
      <c r="AA60" s="145"/>
    </row>
    <row r="61" spans="1:38" outlineLevel="2" collapsed="1" x14ac:dyDescent="0.15">
      <c r="A61" s="202"/>
      <c r="B61" s="122"/>
      <c r="C61" s="198"/>
      <c r="D61" s="198"/>
      <c r="E61" s="198"/>
      <c r="F61" s="198"/>
      <c r="G61" s="198"/>
      <c r="H61" s="198"/>
      <c r="I61" s="198"/>
      <c r="J61" s="198"/>
      <c r="K61" s="198"/>
      <c r="L61" s="198"/>
      <c r="M61" s="126"/>
      <c r="N61" s="126"/>
      <c r="O61" s="126"/>
      <c r="P61" s="117"/>
      <c r="Q61" s="117"/>
      <c r="R61" s="117"/>
      <c r="S61" s="117"/>
      <c r="T61" s="117"/>
      <c r="U61" s="118"/>
      <c r="V61" s="119"/>
      <c r="W61" s="119"/>
      <c r="X61" s="117"/>
      <c r="Y61" s="117"/>
      <c r="Z61" s="117"/>
      <c r="AA61" s="117"/>
      <c r="AB61" s="117"/>
      <c r="AC61" s="120"/>
    </row>
    <row r="62" spans="1:38" ht="15" outlineLevel="2" x14ac:dyDescent="0.15">
      <c r="A62" s="202" t="s">
        <v>266</v>
      </c>
      <c r="B62" s="200" t="e">
        <f>B53/B$22</f>
        <v>#DIV/0!</v>
      </c>
      <c r="C62" s="204">
        <v>1699.9</v>
      </c>
      <c r="D62" s="204">
        <v>1756.1999999999998</v>
      </c>
      <c r="E62" s="204">
        <v>1831.4</v>
      </c>
      <c r="F62" s="204">
        <v>1858.8000000000002</v>
      </c>
      <c r="G62" s="204">
        <v>1905.1999999999998</v>
      </c>
      <c r="H62" s="204">
        <v>1994.3000000000002</v>
      </c>
      <c r="I62" s="204">
        <v>2021</v>
      </c>
      <c r="J62" s="204">
        <v>2010.5</v>
      </c>
      <c r="K62" s="204">
        <v>2013.3</v>
      </c>
      <c r="L62" s="204">
        <v>2175.9</v>
      </c>
      <c r="M62" s="265">
        <f>M63*M11</f>
        <v>2307.9607599999999</v>
      </c>
      <c r="N62" s="265">
        <f>N63*N11</f>
        <v>2507.5281352000002</v>
      </c>
      <c r="O62" s="265">
        <f>O63*O11</f>
        <v>2568.3155341240004</v>
      </c>
      <c r="P62" s="265">
        <f t="shared" ref="P62:Q62" si="149">P63*P11</f>
        <v>2704.5149211811195</v>
      </c>
      <c r="Q62" s="265">
        <f t="shared" si="149"/>
        <v>2710.799616573091</v>
      </c>
      <c r="R62" s="117"/>
      <c r="S62" s="117"/>
      <c r="T62" s="117"/>
      <c r="U62" s="118"/>
      <c r="V62" s="119"/>
      <c r="W62" s="119"/>
      <c r="X62" s="117"/>
      <c r="Y62" s="117"/>
      <c r="Z62" s="117"/>
      <c r="AA62" s="117"/>
      <c r="AB62" s="117"/>
      <c r="AC62" s="120"/>
    </row>
    <row r="63" spans="1:38" ht="30" outlineLevel="2" x14ac:dyDescent="0.15">
      <c r="A63" s="206" t="s">
        <v>294</v>
      </c>
      <c r="B63" s="122"/>
      <c r="C63" s="207">
        <f t="shared" ref="C63:L63" si="150">C62/C11</f>
        <v>0.22294647658268524</v>
      </c>
      <c r="D63" s="207">
        <f t="shared" si="150"/>
        <v>0.22523469963576667</v>
      </c>
      <c r="E63" s="207">
        <f t="shared" si="150"/>
        <v>0.22659111155102446</v>
      </c>
      <c r="F63" s="207">
        <f t="shared" si="150"/>
        <v>0.2224056857747945</v>
      </c>
      <c r="G63" s="207">
        <f t="shared" si="150"/>
        <v>0.22160961254376474</v>
      </c>
      <c r="H63" s="207">
        <f t="shared" si="150"/>
        <v>0.22193164999276663</v>
      </c>
      <c r="I63" s="207">
        <f t="shared" si="150"/>
        <v>0.21578969847100024</v>
      </c>
      <c r="J63" s="207">
        <f t="shared" si="150"/>
        <v>0.21438244420511618</v>
      </c>
      <c r="K63" s="207">
        <f t="shared" si="150"/>
        <v>0.21235101782512392</v>
      </c>
      <c r="L63" s="207">
        <f t="shared" si="150"/>
        <v>0.22610511877299086</v>
      </c>
      <c r="M63" s="430">
        <v>0.23</v>
      </c>
      <c r="N63" s="431">
        <v>0.23</v>
      </c>
      <c r="O63" s="431">
        <v>0.23</v>
      </c>
      <c r="P63" s="431">
        <v>0.24</v>
      </c>
      <c r="Q63" s="431">
        <v>0.24</v>
      </c>
      <c r="R63" s="111"/>
      <c r="S63" s="111"/>
      <c r="T63" s="111"/>
      <c r="V63" s="119"/>
      <c r="W63" s="119"/>
      <c r="X63" s="117"/>
      <c r="Y63" s="117"/>
      <c r="Z63" s="117"/>
      <c r="AA63" s="117"/>
    </row>
    <row r="64" spans="1:38" s="128" customFormat="1" ht="15.75" customHeight="1" outlineLevel="2" x14ac:dyDescent="0.15">
      <c r="A64" s="256" t="s">
        <v>295</v>
      </c>
      <c r="B64" s="257"/>
      <c r="C64" s="297"/>
      <c r="D64" s="297">
        <f>D63/C63-1</f>
        <v>1.0263553334213693E-2</v>
      </c>
      <c r="E64" s="297">
        <f t="shared" ref="E64:O64" si="151">E63/D63-1</f>
        <v>6.0222155709190872E-3</v>
      </c>
      <c r="F64" s="297">
        <f t="shared" si="151"/>
        <v>-1.8471270773070314E-2</v>
      </c>
      <c r="G64" s="297">
        <f t="shared" si="151"/>
        <v>-3.5793744582405251E-3</v>
      </c>
      <c r="H64" s="297">
        <f t="shared" si="151"/>
        <v>1.4531745500809823E-3</v>
      </c>
      <c r="I64" s="297">
        <f t="shared" si="151"/>
        <v>-2.767496894636956E-2</v>
      </c>
      <c r="J64" s="297">
        <f t="shared" si="151"/>
        <v>-6.5214154144304093E-3</v>
      </c>
      <c r="K64" s="297">
        <f t="shared" si="151"/>
        <v>-9.475712377122858E-3</v>
      </c>
      <c r="L64" s="297">
        <f t="shared" si="151"/>
        <v>6.4770591112465414E-2</v>
      </c>
      <c r="M64" s="432">
        <f t="shared" si="151"/>
        <v>1.7225975458430964E-2</v>
      </c>
      <c r="N64" s="432">
        <f t="shared" si="151"/>
        <v>0</v>
      </c>
      <c r="O64" s="432">
        <f t="shared" si="151"/>
        <v>0</v>
      </c>
      <c r="P64" s="432">
        <f t="shared" ref="P64" si="152">P63/O63-1</f>
        <v>4.3478260869565188E-2</v>
      </c>
      <c r="Q64" s="432">
        <f t="shared" ref="Q64" si="153">Q63/P63-1</f>
        <v>0</v>
      </c>
      <c r="R64" s="258"/>
      <c r="S64" s="258"/>
      <c r="T64" s="258"/>
      <c r="U64" s="259"/>
      <c r="V64" s="260"/>
      <c r="W64" s="260"/>
      <c r="X64" s="258"/>
      <c r="Y64" s="258"/>
      <c r="Z64" s="258"/>
      <c r="AA64" s="258"/>
      <c r="AB64" s="258"/>
      <c r="AC64" s="258"/>
      <c r="AD64" s="258"/>
      <c r="AE64" s="258"/>
      <c r="AF64" s="258"/>
      <c r="AG64" s="258"/>
      <c r="AH64" s="258"/>
      <c r="AI64" s="258"/>
      <c r="AJ64" s="258"/>
      <c r="AK64" s="258"/>
      <c r="AL64" s="258"/>
    </row>
    <row r="65" spans="1:38" ht="30" outlineLevel="2" x14ac:dyDescent="0.15">
      <c r="A65" s="206" t="s">
        <v>296</v>
      </c>
      <c r="B65" s="122"/>
      <c r="C65" s="207">
        <f t="shared" ref="C65:L65" si="154">C62/C37</f>
        <v>0.1639469166521999</v>
      </c>
      <c r="D65" s="207">
        <f t="shared" si="154"/>
        <v>0.16686778469285951</v>
      </c>
      <c r="E65" s="207">
        <f t="shared" si="154"/>
        <v>0.17065965912797146</v>
      </c>
      <c r="F65" s="207">
        <f t="shared" si="154"/>
        <v>0.16827049291630836</v>
      </c>
      <c r="G65" s="207">
        <f t="shared" si="154"/>
        <v>0.16879895098699366</v>
      </c>
      <c r="H65" s="207">
        <f t="shared" si="154"/>
        <v>0.17194464801482953</v>
      </c>
      <c r="I65" s="207">
        <f t="shared" si="154"/>
        <v>0.16843210627640864</v>
      </c>
      <c r="J65" s="207">
        <f t="shared" si="154"/>
        <v>0.15274918136163682</v>
      </c>
      <c r="K65" s="207">
        <f t="shared" si="154"/>
        <v>0.16758228037756581</v>
      </c>
      <c r="L65" s="207">
        <f t="shared" si="154"/>
        <v>0.1814610958218664</v>
      </c>
      <c r="M65" s="224">
        <f>M62/M49</f>
        <v>0.18543290048775221</v>
      </c>
      <c r="N65" s="224">
        <f>N62/N37</f>
        <v>0.18700201290549995</v>
      </c>
      <c r="O65" s="224">
        <f>O62/O37</f>
        <v>0.18664482407860439</v>
      </c>
      <c r="P65" s="224">
        <f t="shared" ref="P65:Q65" si="155">P62/P37</f>
        <v>0.19395998477474244</v>
      </c>
      <c r="Q65" s="224">
        <f t="shared" si="155"/>
        <v>0.19310098583592669</v>
      </c>
      <c r="R65" s="111"/>
      <c r="S65" s="111"/>
      <c r="T65" s="111"/>
      <c r="V65" s="119"/>
      <c r="W65" s="119"/>
      <c r="X65" s="117"/>
      <c r="Y65" s="117"/>
      <c r="Z65" s="117"/>
      <c r="AA65" s="117"/>
    </row>
    <row r="66" spans="1:38" s="128" customFormat="1" ht="15.75" customHeight="1" outlineLevel="2" x14ac:dyDescent="0.15">
      <c r="A66" s="256" t="s">
        <v>295</v>
      </c>
      <c r="B66" s="257"/>
      <c r="C66" s="297"/>
      <c r="D66" s="297">
        <f>D65/C65-1</f>
        <v>1.7815937623615108E-2</v>
      </c>
      <c r="E66" s="297">
        <f t="shared" ref="E66" si="156">E65/D65-1</f>
        <v>2.2723825584976431E-2</v>
      </c>
      <c r="F66" s="297">
        <f t="shared" ref="F66" si="157">F65/E65-1</f>
        <v>-1.3999595592017133E-2</v>
      </c>
      <c r="G66" s="297">
        <f t="shared" ref="G66" si="158">G65/F65-1</f>
        <v>3.1405272637321513E-3</v>
      </c>
      <c r="H66" s="297">
        <f t="shared" ref="H66" si="159">H65/G65-1</f>
        <v>1.8635761712039622E-2</v>
      </c>
      <c r="I66" s="297">
        <f t="shared" ref="I66" si="160">I65/H65-1</f>
        <v>-2.0428328412512964E-2</v>
      </c>
      <c r="J66" s="297">
        <f t="shared" ref="J66" si="161">J65/I65-1</f>
        <v>-9.3111255695129014E-2</v>
      </c>
      <c r="K66" s="297">
        <f t="shared" ref="K66" si="162">K65/J65-1</f>
        <v>9.7107551632707789E-2</v>
      </c>
      <c r="L66" s="297">
        <f t="shared" ref="L66" si="163">L65/K65-1</f>
        <v>8.2817917342044689E-2</v>
      </c>
      <c r="M66" s="432">
        <f t="shared" ref="M66" si="164">M65/L65-1</f>
        <v>2.1887912931953135E-2</v>
      </c>
      <c r="N66" s="432">
        <f t="shared" ref="N66" si="165">N65/M65-1</f>
        <v>8.4618879045759154E-3</v>
      </c>
      <c r="O66" s="432">
        <f t="shared" ref="O66" si="166">O65/N65-1</f>
        <v>-1.9100801181004545E-3</v>
      </c>
      <c r="P66" s="432">
        <f t="shared" ref="P66" si="167">P65/O65-1</f>
        <v>3.9192946990361355E-2</v>
      </c>
      <c r="Q66" s="432">
        <f t="shared" ref="Q66" si="168">Q65/P65-1</f>
        <v>-4.4287430719968102E-3</v>
      </c>
      <c r="R66" s="258"/>
      <c r="S66" s="258"/>
      <c r="T66" s="258"/>
      <c r="U66" s="259"/>
      <c r="V66" s="260"/>
      <c r="W66" s="260"/>
      <c r="X66" s="258"/>
      <c r="Y66" s="258"/>
      <c r="Z66" s="258"/>
      <c r="AA66" s="258"/>
      <c r="AB66" s="258"/>
      <c r="AC66" s="258"/>
      <c r="AD66" s="258"/>
      <c r="AE66" s="258"/>
      <c r="AF66" s="258"/>
      <c r="AG66" s="258"/>
      <c r="AH66" s="258"/>
      <c r="AI66" s="258"/>
      <c r="AJ66" s="258"/>
      <c r="AK66" s="258"/>
      <c r="AL66" s="258"/>
    </row>
    <row r="67" spans="1:38" outlineLevel="2" x14ac:dyDescent="0.15">
      <c r="A67" s="202"/>
      <c r="B67" s="200"/>
      <c r="C67" s="204"/>
      <c r="D67" s="204"/>
      <c r="E67" s="204"/>
      <c r="F67" s="204"/>
      <c r="G67" s="204"/>
      <c r="H67" s="204"/>
      <c r="I67" s="204"/>
      <c r="J67" s="204"/>
      <c r="K67" s="204"/>
      <c r="L67" s="204"/>
      <c r="M67" s="143"/>
      <c r="N67" s="143"/>
      <c r="O67" s="143"/>
      <c r="P67" s="117"/>
      <c r="Q67" s="117"/>
      <c r="R67" s="117"/>
      <c r="S67" s="117"/>
      <c r="T67" s="117"/>
      <c r="U67" s="118"/>
      <c r="V67" s="119"/>
      <c r="W67" s="119"/>
      <c r="X67" s="117"/>
      <c r="Y67" s="117"/>
      <c r="Z67" s="117"/>
      <c r="AA67" s="149"/>
      <c r="AB67" s="117"/>
      <c r="AC67" s="120"/>
    </row>
    <row r="68" spans="1:38" ht="15" outlineLevel="2" x14ac:dyDescent="0.15">
      <c r="A68" s="202" t="s">
        <v>263</v>
      </c>
      <c r="B68" s="200" t="e">
        <f>#REF!/B$22</f>
        <v>#REF!</v>
      </c>
      <c r="C68" s="499">
        <v>-466.8</v>
      </c>
      <c r="D68" s="499">
        <v>-524</v>
      </c>
      <c r="E68" s="499">
        <v>-569.70000000000005</v>
      </c>
      <c r="F68" s="499">
        <v>-592.4</v>
      </c>
      <c r="G68" s="499">
        <v>-628</v>
      </c>
      <c r="H68" s="499">
        <v>-668</v>
      </c>
      <c r="I68" s="499">
        <v>-658.6</v>
      </c>
      <c r="J68" s="499">
        <v>-576.20000000000005</v>
      </c>
      <c r="K68" s="499">
        <v>-508.1</v>
      </c>
      <c r="L68" s="499">
        <v>-556.9</v>
      </c>
      <c r="M68" s="121">
        <f>M69*M11</f>
        <v>-582.00749599999995</v>
      </c>
      <c r="N68" s="121">
        <f t="shared" ref="N68:O68" si="169">N69*N11</f>
        <v>-632.33318192000002</v>
      </c>
      <c r="O68" s="121">
        <f t="shared" si="169"/>
        <v>-647.66217817040001</v>
      </c>
      <c r="P68" s="121">
        <f t="shared" ref="P68:Q68" si="170">P69*P11</f>
        <v>-653.59110595210393</v>
      </c>
      <c r="Q68" s="121">
        <f t="shared" si="170"/>
        <v>-655.10990733849712</v>
      </c>
      <c r="R68" s="111"/>
      <c r="S68" s="111"/>
      <c r="T68" s="111"/>
      <c r="V68" s="119"/>
      <c r="W68" s="119"/>
      <c r="X68" s="117"/>
      <c r="Y68" s="117"/>
      <c r="Z68" s="117"/>
      <c r="AA68" s="149"/>
    </row>
    <row r="69" spans="1:38" ht="15" outlineLevel="2" x14ac:dyDescent="0.15">
      <c r="A69" s="205" t="s">
        <v>526</v>
      </c>
      <c r="B69" s="200"/>
      <c r="C69" s="501">
        <f>C68/C11</f>
        <v>-6.1222080868755496E-2</v>
      </c>
      <c r="D69" s="501">
        <f t="shared" ref="D69:L69" si="171">D68/D11</f>
        <v>-6.7203611552865139E-2</v>
      </c>
      <c r="E69" s="501">
        <f t="shared" si="171"/>
        <v>-7.0486489161635163E-2</v>
      </c>
      <c r="F69" s="501">
        <f t="shared" si="171"/>
        <v>-7.0880744702489909E-2</v>
      </c>
      <c r="G69" s="501">
        <f t="shared" si="171"/>
        <v>-7.3047888241383724E-2</v>
      </c>
      <c r="H69" s="501">
        <f t="shared" si="171"/>
        <v>-7.4337031637751641E-2</v>
      </c>
      <c r="I69" s="501">
        <f t="shared" si="171"/>
        <v>-7.0321175365166133E-2</v>
      </c>
      <c r="J69" s="501">
        <f t="shared" si="171"/>
        <v>-6.1441016837099204E-2</v>
      </c>
      <c r="K69" s="501">
        <f t="shared" si="171"/>
        <v>-5.3591393312941674E-2</v>
      </c>
      <c r="L69" s="501">
        <f t="shared" si="171"/>
        <v>-5.7869360101419458E-2</v>
      </c>
      <c r="M69" s="123">
        <v>-5.8000000000000003E-2</v>
      </c>
      <c r="N69" s="123">
        <v>-5.8000000000000003E-2</v>
      </c>
      <c r="O69" s="123">
        <v>-5.8000000000000003E-2</v>
      </c>
      <c r="P69" s="123">
        <v>-5.8000000000000003E-2</v>
      </c>
      <c r="Q69" s="123">
        <v>-5.8000000000000003E-2</v>
      </c>
      <c r="R69" s="111"/>
      <c r="S69" s="111"/>
      <c r="T69" s="111"/>
      <c r="V69" s="119"/>
      <c r="W69" s="119"/>
      <c r="X69" s="117"/>
      <c r="Y69" s="117"/>
      <c r="Z69" s="117"/>
      <c r="AA69" s="149"/>
    </row>
    <row r="70" spans="1:38" outlineLevel="2" x14ac:dyDescent="0.15">
      <c r="A70" s="205"/>
      <c r="B70" s="200"/>
      <c r="C70" s="500"/>
      <c r="D70" s="500"/>
      <c r="E70" s="500"/>
      <c r="F70" s="500"/>
      <c r="G70" s="500"/>
      <c r="H70" s="500"/>
      <c r="I70" s="500"/>
      <c r="J70" s="500"/>
      <c r="K70" s="500"/>
      <c r="L70" s="500"/>
      <c r="M70" s="144"/>
      <c r="N70" s="144"/>
      <c r="O70" s="144"/>
      <c r="P70" s="111"/>
      <c r="Q70" s="111"/>
      <c r="R70" s="111"/>
      <c r="S70" s="111"/>
      <c r="T70" s="111"/>
      <c r="V70" s="119"/>
      <c r="W70" s="119"/>
      <c r="X70" s="117"/>
      <c r="Y70" s="117"/>
      <c r="Z70" s="117"/>
      <c r="AA70" s="149"/>
    </row>
    <row r="71" spans="1:38" ht="15" outlineLevel="2" collapsed="1" x14ac:dyDescent="0.15">
      <c r="A71" s="202" t="s">
        <v>264</v>
      </c>
      <c r="B71" s="201"/>
      <c r="C71" s="198">
        <v>418.9</v>
      </c>
      <c r="D71" s="198">
        <v>440.8</v>
      </c>
      <c r="E71" s="198">
        <v>482.3</v>
      </c>
      <c r="F71" s="198">
        <v>493</v>
      </c>
      <c r="G71" s="198">
        <v>527.1</v>
      </c>
      <c r="H71" s="198">
        <v>565.5</v>
      </c>
      <c r="I71" s="198">
        <v>609.9</v>
      </c>
      <c r="J71" s="198">
        <v>606.1</v>
      </c>
      <c r="K71" s="198">
        <v>586.1</v>
      </c>
      <c r="L71" s="198">
        <v>591</v>
      </c>
      <c r="M71" s="121">
        <f>M72*M11</f>
        <v>622.14594399999999</v>
      </c>
      <c r="N71" s="121">
        <f t="shared" ref="N71:O71" si="172">N72*N11</f>
        <v>681.01323142371405</v>
      </c>
      <c r="O71" s="121">
        <f t="shared" si="172"/>
        <v>697.52232752913972</v>
      </c>
      <c r="P71" s="121">
        <f t="shared" ref="P71:Q71" si="173">P72*P11</f>
        <v>698.66635463845591</v>
      </c>
      <c r="Q71" s="121">
        <f t="shared" si="173"/>
        <v>700.28990094804863</v>
      </c>
      <c r="R71" s="117"/>
      <c r="S71" s="117"/>
      <c r="T71" s="117"/>
      <c r="U71" s="118"/>
      <c r="V71" s="119"/>
      <c r="W71" s="119"/>
      <c r="X71" s="117"/>
      <c r="Y71" s="117"/>
      <c r="Z71" s="117"/>
      <c r="AA71" s="149"/>
      <c r="AB71" s="117"/>
      <c r="AC71" s="120"/>
    </row>
    <row r="72" spans="1:38" ht="15" outlineLevel="2" x14ac:dyDescent="0.15">
      <c r="A72" s="205" t="s">
        <v>526</v>
      </c>
      <c r="B72" s="201"/>
      <c r="C72" s="292">
        <f>C71/C11</f>
        <v>5.493986648655029E-2</v>
      </c>
      <c r="D72" s="292">
        <f t="shared" ref="D72:L72" si="174">D71/D11</f>
        <v>5.6533114451341508E-2</v>
      </c>
      <c r="E72" s="292">
        <f t="shared" si="174"/>
        <v>5.9672869444719397E-2</v>
      </c>
      <c r="F72" s="292">
        <f t="shared" si="174"/>
        <v>5.898752049008698E-2</v>
      </c>
      <c r="G72" s="292">
        <f t="shared" si="174"/>
        <v>6.1311372439543564E-2</v>
      </c>
      <c r="H72" s="292">
        <f t="shared" si="174"/>
        <v>6.2930526034653517E-2</v>
      </c>
      <c r="I72" s="292">
        <f t="shared" si="174"/>
        <v>6.5121294951738268E-2</v>
      </c>
      <c r="J72" s="292">
        <f t="shared" si="174"/>
        <v>6.4629295912818158E-2</v>
      </c>
      <c r="K72" s="292">
        <f t="shared" si="174"/>
        <v>6.1818373589283833E-2</v>
      </c>
      <c r="L72" s="292">
        <f t="shared" si="174"/>
        <v>6.1412806284681092E-2</v>
      </c>
      <c r="M72" s="123">
        <v>6.2E-2</v>
      </c>
      <c r="N72" s="123">
        <f>AVERAGE(J72:M72)</f>
        <v>6.246511894669577E-2</v>
      </c>
      <c r="O72" s="123">
        <f>N72</f>
        <v>6.246511894669577E-2</v>
      </c>
      <c r="P72" s="123">
        <v>6.2E-2</v>
      </c>
      <c r="Q72" s="123">
        <f t="shared" ref="Q72" si="175">P72</f>
        <v>6.2E-2</v>
      </c>
      <c r="R72" s="117"/>
      <c r="S72" s="117"/>
      <c r="T72" s="117"/>
      <c r="U72" s="118"/>
      <c r="V72" s="119"/>
      <c r="W72" s="119"/>
      <c r="X72" s="117"/>
      <c r="Y72" s="117"/>
      <c r="Z72" s="117"/>
      <c r="AA72" s="149"/>
      <c r="AB72" s="117"/>
      <c r="AC72" s="120"/>
    </row>
    <row r="73" spans="1:38" outlineLevel="2" x14ac:dyDescent="0.15">
      <c r="A73" s="202"/>
      <c r="B73" s="201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26"/>
      <c r="N73" s="126"/>
      <c r="O73" s="126"/>
      <c r="P73" s="117"/>
      <c r="Q73" s="117"/>
      <c r="R73" s="117"/>
      <c r="S73" s="117"/>
      <c r="T73" s="117"/>
      <c r="U73" s="118"/>
      <c r="V73" s="119"/>
      <c r="W73" s="119"/>
      <c r="X73" s="117"/>
      <c r="Y73" s="117"/>
      <c r="Z73" s="117"/>
      <c r="AA73" s="149"/>
      <c r="AB73" s="117"/>
      <c r="AC73" s="120"/>
    </row>
    <row r="74" spans="1:38" ht="15" outlineLevel="1" x14ac:dyDescent="0.15">
      <c r="A74" s="202" t="s">
        <v>265</v>
      </c>
      <c r="B74" s="122" t="e">
        <f>SUM(B53,#REF!,#REF!)</f>
        <v>#REF!</v>
      </c>
      <c r="C74" s="198">
        <v>751.5</v>
      </c>
      <c r="D74" s="198">
        <v>831.2</v>
      </c>
      <c r="E74" s="198">
        <v>813.4</v>
      </c>
      <c r="F74" s="198">
        <v>831.6</v>
      </c>
      <c r="G74" s="198">
        <v>862.9</v>
      </c>
      <c r="H74" s="198">
        <v>891.2</v>
      </c>
      <c r="I74" s="198">
        <v>971</v>
      </c>
      <c r="J74" s="198">
        <v>996.6</v>
      </c>
      <c r="K74" s="198">
        <v>1076</v>
      </c>
      <c r="L74" s="198">
        <v>1024</v>
      </c>
      <c r="M74" s="121">
        <f>M75*M37</f>
        <v>1057.9388236067493</v>
      </c>
      <c r="N74" s="121">
        <f>N75*N37</f>
        <v>1126.3641502257065</v>
      </c>
      <c r="O74" s="121">
        <f>O75*O37</f>
        <v>1155.8772440191485</v>
      </c>
      <c r="P74" s="121">
        <f>P75*P37</f>
        <v>1171.268669891118</v>
      </c>
      <c r="Q74" s="121">
        <f>Q75*Q37</f>
        <v>1179.2128704387715</v>
      </c>
      <c r="R74" s="111"/>
      <c r="S74" s="111"/>
      <c r="T74" s="111"/>
      <c r="V74" s="119"/>
      <c r="W74" s="119"/>
      <c r="X74" s="117"/>
      <c r="Y74" s="117"/>
      <c r="Z74" s="117"/>
      <c r="AA74" s="149"/>
    </row>
    <row r="75" spans="1:38" ht="15" outlineLevel="1" x14ac:dyDescent="0.15">
      <c r="A75" s="205" t="s">
        <v>297</v>
      </c>
      <c r="B75" s="122"/>
      <c r="C75" s="292">
        <f t="shared" ref="C75:L75" si="176">C74/C37</f>
        <v>7.2478444534459813E-2</v>
      </c>
      <c r="D75" s="292">
        <f t="shared" si="176"/>
        <v>7.8977623640077918E-2</v>
      </c>
      <c r="E75" s="292">
        <f t="shared" si="176"/>
        <v>7.5796967748548646E-2</v>
      </c>
      <c r="F75" s="292">
        <f t="shared" si="176"/>
        <v>7.5281763454487852E-2</v>
      </c>
      <c r="G75" s="292">
        <f t="shared" si="176"/>
        <v>7.6452138781585577E-2</v>
      </c>
      <c r="H75" s="292">
        <f t="shared" si="176"/>
        <v>7.6837522093374147E-2</v>
      </c>
      <c r="I75" s="292">
        <f t="shared" si="176"/>
        <v>8.0924084707764868E-2</v>
      </c>
      <c r="J75" s="292">
        <f t="shared" si="176"/>
        <v>7.5717400718730288E-2</v>
      </c>
      <c r="K75" s="292">
        <f t="shared" si="176"/>
        <v>8.9563668447951522E-2</v>
      </c>
      <c r="L75" s="292">
        <f t="shared" si="176"/>
        <v>8.5397381369360356E-2</v>
      </c>
      <c r="M75" s="123">
        <v>8.5000000000000006E-2</v>
      </c>
      <c r="N75" s="123">
        <v>8.4000000000000005E-2</v>
      </c>
      <c r="O75" s="123">
        <f t="shared" ref="O75:Q75" si="177">N75</f>
        <v>8.4000000000000005E-2</v>
      </c>
      <c r="P75" s="123">
        <f t="shared" si="177"/>
        <v>8.4000000000000005E-2</v>
      </c>
      <c r="Q75" s="123">
        <f t="shared" si="177"/>
        <v>8.4000000000000005E-2</v>
      </c>
      <c r="R75" s="111"/>
      <c r="S75" s="111"/>
      <c r="T75" s="111"/>
      <c r="V75" s="119"/>
      <c r="W75" s="119"/>
      <c r="X75" s="117"/>
      <c r="Y75" s="117"/>
      <c r="Z75" s="117"/>
      <c r="AA75" s="149"/>
    </row>
    <row r="76" spans="1:38" ht="15" outlineLevel="1" x14ac:dyDescent="0.15">
      <c r="A76" s="205" t="s">
        <v>298</v>
      </c>
      <c r="B76" s="122"/>
      <c r="C76" s="292">
        <f t="shared" ref="C76:Q76" si="178">C74/C11</f>
        <v>9.8561254869044032E-2</v>
      </c>
      <c r="D76" s="292">
        <f t="shared" si="178"/>
        <v>0.10660237008156775</v>
      </c>
      <c r="E76" s="292">
        <f t="shared" si="178"/>
        <v>0.10063842423042661</v>
      </c>
      <c r="F76" s="292">
        <f t="shared" si="178"/>
        <v>9.9501058903765385E-2</v>
      </c>
      <c r="G76" s="292">
        <f t="shared" si="178"/>
        <v>0.10037105535587582</v>
      </c>
      <c r="H76" s="292">
        <f t="shared" si="178"/>
        <v>9.9175393107132123E-2</v>
      </c>
      <c r="I76" s="292">
        <f t="shared" si="178"/>
        <v>0.1036772870931921</v>
      </c>
      <c r="J76" s="292">
        <f t="shared" si="178"/>
        <v>0.1062688604301511</v>
      </c>
      <c r="K76" s="292">
        <f t="shared" si="178"/>
        <v>0.113490138171079</v>
      </c>
      <c r="L76" s="292">
        <f t="shared" si="178"/>
        <v>0.10640729887565725</v>
      </c>
      <c r="M76" s="293">
        <f t="shared" si="178"/>
        <v>0.10542897160415862</v>
      </c>
      <c r="N76" s="293">
        <f t="shared" si="178"/>
        <v>0.10331439592451457</v>
      </c>
      <c r="O76" s="293">
        <f t="shared" si="178"/>
        <v>0.10351211235230127</v>
      </c>
      <c r="P76" s="293">
        <f t="shared" si="178"/>
        <v>0.10393896464475927</v>
      </c>
      <c r="Q76" s="293">
        <f t="shared" si="178"/>
        <v>0.10440133131753906</v>
      </c>
      <c r="R76" s="111"/>
      <c r="S76" s="111"/>
      <c r="T76" s="111"/>
      <c r="V76" s="119"/>
      <c r="W76" s="119"/>
      <c r="X76" s="117"/>
      <c r="Y76" s="117"/>
      <c r="Z76" s="117"/>
      <c r="AA76" s="149"/>
    </row>
    <row r="77" spans="1:38" outlineLevel="1" x14ac:dyDescent="0.15">
      <c r="A77" s="205"/>
      <c r="B77" s="122"/>
      <c r="C77" s="292"/>
      <c r="D77" s="292"/>
      <c r="E77" s="292"/>
      <c r="F77" s="292"/>
      <c r="G77" s="292"/>
      <c r="H77" s="292"/>
      <c r="I77" s="292"/>
      <c r="J77" s="292"/>
      <c r="K77" s="292"/>
      <c r="L77" s="292"/>
      <c r="M77" s="293"/>
      <c r="N77" s="293"/>
      <c r="O77" s="293"/>
      <c r="P77" s="293"/>
      <c r="Q77" s="293"/>
      <c r="R77" s="111"/>
      <c r="S77" s="111"/>
      <c r="T77" s="111"/>
      <c r="V77" s="119"/>
      <c r="W77" s="119"/>
      <c r="X77" s="117"/>
      <c r="Y77" s="117"/>
      <c r="Z77" s="117"/>
      <c r="AA77" s="149"/>
    </row>
    <row r="78" spans="1:38" ht="15" outlineLevel="1" x14ac:dyDescent="0.15">
      <c r="A78" s="202" t="s">
        <v>273</v>
      </c>
      <c r="B78" s="122"/>
      <c r="C78" s="292"/>
      <c r="D78" s="292">
        <f t="shared" ref="D78:Q78" si="179">D53/D11</f>
        <v>0.93761863232955422</v>
      </c>
      <c r="E78" s="292">
        <f t="shared" si="179"/>
        <v>0.83920617638325257</v>
      </c>
      <c r="F78" s="292">
        <f t="shared" si="179"/>
        <v>0.83058736255189825</v>
      </c>
      <c r="G78" s="292">
        <f t="shared" si="179"/>
        <v>0.82070698258715147</v>
      </c>
      <c r="H78" s="292">
        <f t="shared" si="179"/>
        <v>0.89253402477159161</v>
      </c>
      <c r="I78" s="292">
        <f t="shared" si="179"/>
        <v>0.8003971982574527</v>
      </c>
      <c r="J78" s="292">
        <f t="shared" si="179"/>
        <v>0.95679295379661122</v>
      </c>
      <c r="K78" s="292">
        <f t="shared" si="179"/>
        <v>0.80145554266427599</v>
      </c>
      <c r="L78" s="292">
        <f t="shared" si="179"/>
        <v>0.72081592784255044</v>
      </c>
      <c r="M78" s="293">
        <f t="shared" si="179"/>
        <v>0.69369649768222241</v>
      </c>
      <c r="N78" s="293">
        <f t="shared" si="179"/>
        <v>0.6883242071947222</v>
      </c>
      <c r="O78" s="293">
        <f t="shared" si="179"/>
        <v>0.6779431377755063</v>
      </c>
      <c r="P78" s="293">
        <f t="shared" si="179"/>
        <v>0.67775705933901653</v>
      </c>
      <c r="Q78" s="293">
        <f t="shared" si="179"/>
        <v>0.67827230553299234</v>
      </c>
      <c r="R78" s="111"/>
      <c r="S78" s="111"/>
      <c r="T78" s="111"/>
      <c r="V78" s="119"/>
      <c r="W78" s="119"/>
      <c r="X78" s="117"/>
      <c r="Y78" s="117"/>
      <c r="Z78" s="117"/>
      <c r="AA78" s="149"/>
    </row>
    <row r="79" spans="1:38" ht="15" outlineLevel="1" x14ac:dyDescent="0.15">
      <c r="A79" s="202" t="s">
        <v>384</v>
      </c>
      <c r="B79" s="122"/>
      <c r="C79" s="292"/>
      <c r="D79" s="292">
        <f t="shared" ref="D79:Q79" si="180">(D74+D71+D68+D62)/D11</f>
        <v>0.32116657261581077</v>
      </c>
      <c r="E79" s="292">
        <f t="shared" si="180"/>
        <v>0.31641591606453529</v>
      </c>
      <c r="F79" s="292">
        <f t="shared" si="180"/>
        <v>0.31001352046615693</v>
      </c>
      <c r="G79" s="292">
        <f t="shared" si="180"/>
        <v>0.31024415209780037</v>
      </c>
      <c r="H79" s="292">
        <f t="shared" si="180"/>
        <v>0.3097005374968006</v>
      </c>
      <c r="I79" s="292">
        <f t="shared" si="180"/>
        <v>0.3142671051507645</v>
      </c>
      <c r="J79" s="292">
        <f t="shared" si="180"/>
        <v>0.3238395837109862</v>
      </c>
      <c r="K79" s="292">
        <f t="shared" si="180"/>
        <v>0.33406813627254511</v>
      </c>
      <c r="L79" s="292">
        <f t="shared" si="180"/>
        <v>0.33605586383190972</v>
      </c>
      <c r="M79" s="293">
        <f t="shared" si="180"/>
        <v>0.33942897160415864</v>
      </c>
      <c r="N79" s="293">
        <f t="shared" si="180"/>
        <v>0.33777951487121033</v>
      </c>
      <c r="O79" s="293">
        <f t="shared" si="180"/>
        <v>0.33797723129899709</v>
      </c>
      <c r="P79" s="293">
        <f t="shared" si="180"/>
        <v>0.34793896464475926</v>
      </c>
      <c r="Q79" s="293">
        <f t="shared" si="180"/>
        <v>0.34840133131753903</v>
      </c>
      <c r="R79" s="111"/>
      <c r="S79" s="111"/>
      <c r="T79" s="111"/>
      <c r="V79" s="119"/>
      <c r="W79" s="119"/>
      <c r="X79" s="117"/>
      <c r="Y79" s="117"/>
      <c r="Z79" s="117"/>
      <c r="AA79" s="149"/>
    </row>
    <row r="80" spans="1:38" ht="15" outlineLevel="1" x14ac:dyDescent="0.15">
      <c r="A80" s="202" t="s">
        <v>346</v>
      </c>
      <c r="B80" s="122"/>
      <c r="C80" s="292"/>
      <c r="D80" s="292">
        <f>D78+D79</f>
        <v>1.2587852049453649</v>
      </c>
      <c r="E80" s="292">
        <f t="shared" ref="E80:O80" si="181">E78+E79</f>
        <v>1.1556220924477878</v>
      </c>
      <c r="F80" s="292">
        <f t="shared" si="181"/>
        <v>1.1406008830180552</v>
      </c>
      <c r="G80" s="292">
        <f t="shared" si="181"/>
        <v>1.1309511346849519</v>
      </c>
      <c r="H80" s="292">
        <f t="shared" si="181"/>
        <v>1.2022345622683921</v>
      </c>
      <c r="I80" s="292">
        <f t="shared" si="181"/>
        <v>1.1146643034082171</v>
      </c>
      <c r="J80" s="292">
        <f t="shared" si="181"/>
        <v>1.2806325375075973</v>
      </c>
      <c r="K80" s="292">
        <f t="shared" si="181"/>
        <v>1.135523678936821</v>
      </c>
      <c r="L80" s="292">
        <f t="shared" si="181"/>
        <v>1.0568717916744601</v>
      </c>
      <c r="M80" s="293">
        <f t="shared" si="181"/>
        <v>1.0331254692863809</v>
      </c>
      <c r="N80" s="293">
        <f t="shared" si="181"/>
        <v>1.0261037220659326</v>
      </c>
      <c r="O80" s="293">
        <f t="shared" si="181"/>
        <v>1.0159203690745033</v>
      </c>
      <c r="P80" s="293">
        <f t="shared" ref="P80" si="182">P78+P79</f>
        <v>1.0256960239837758</v>
      </c>
      <c r="Q80" s="293">
        <f t="shared" ref="Q80" si="183">Q78+Q79</f>
        <v>1.0266736368505314</v>
      </c>
      <c r="R80" s="111"/>
      <c r="S80" s="111"/>
      <c r="T80" s="111"/>
      <c r="V80" s="119"/>
      <c r="W80" s="119"/>
      <c r="X80" s="117"/>
      <c r="Y80" s="117"/>
      <c r="Z80" s="117"/>
      <c r="AA80" s="149"/>
    </row>
    <row r="81" spans="1:38" outlineLevel="1" x14ac:dyDescent="0.15">
      <c r="A81" s="128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26"/>
      <c r="N81" s="126"/>
      <c r="O81" s="126"/>
      <c r="P81" s="117"/>
      <c r="Q81" s="117"/>
      <c r="R81" s="117"/>
      <c r="S81" s="117"/>
      <c r="T81" s="117"/>
      <c r="U81" s="118"/>
      <c r="V81" s="119"/>
      <c r="W81" s="119"/>
      <c r="X81" s="117"/>
      <c r="Y81" s="117"/>
      <c r="Z81" s="117"/>
      <c r="AA81" s="149"/>
      <c r="AB81" s="117"/>
      <c r="AC81" s="120"/>
    </row>
    <row r="82" spans="1:38" outlineLevel="1" x14ac:dyDescent="0.15">
      <c r="M82" s="143"/>
      <c r="N82" s="143"/>
      <c r="O82" s="143"/>
      <c r="P82" s="117"/>
      <c r="Q82" s="117"/>
      <c r="R82" s="117"/>
      <c r="S82" s="117"/>
      <c r="T82" s="117"/>
      <c r="U82" s="118"/>
      <c r="V82" s="119"/>
      <c r="W82" s="119"/>
      <c r="X82" s="117"/>
      <c r="Y82" s="117"/>
      <c r="Z82" s="117"/>
      <c r="AA82" s="149"/>
      <c r="AB82" s="117"/>
      <c r="AC82" s="120"/>
    </row>
    <row r="83" spans="1:38" outlineLevel="1" x14ac:dyDescent="0.15"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44"/>
      <c r="N83" s="144"/>
      <c r="O83" s="144"/>
      <c r="P83" s="117"/>
      <c r="Q83" s="117"/>
      <c r="R83" s="117"/>
      <c r="S83" s="117"/>
      <c r="T83" s="117"/>
      <c r="U83" s="118"/>
      <c r="V83" s="119"/>
      <c r="W83" s="119"/>
      <c r="X83" s="117"/>
      <c r="Y83" s="117"/>
      <c r="Z83" s="117"/>
      <c r="AA83" s="149"/>
      <c r="AB83" s="117"/>
      <c r="AC83" s="120"/>
    </row>
    <row r="84" spans="1:38" outlineLevel="2" x14ac:dyDescent="0.15">
      <c r="A84" s="128"/>
      <c r="B84" s="114"/>
      <c r="C84" s="126"/>
      <c r="D84" s="126"/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17"/>
      <c r="R84" s="117"/>
      <c r="S84" s="117"/>
      <c r="T84" s="117"/>
      <c r="U84" s="118"/>
      <c r="V84" s="119"/>
      <c r="W84" s="119"/>
      <c r="X84" s="117"/>
      <c r="Y84" s="117"/>
      <c r="Z84" s="117"/>
      <c r="AA84" s="149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</row>
    <row r="85" spans="1:38" outlineLevel="2" x14ac:dyDescent="0.15">
      <c r="A85" s="128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27"/>
      <c r="N85" s="127"/>
      <c r="O85" s="127"/>
      <c r="P85" s="117"/>
      <c r="Q85" s="117"/>
      <c r="R85" s="117"/>
      <c r="S85" s="117"/>
      <c r="T85" s="117"/>
      <c r="U85" s="118"/>
      <c r="V85" s="119"/>
      <c r="W85" s="119"/>
      <c r="X85" s="117"/>
      <c r="Y85" s="117"/>
      <c r="Z85" s="117"/>
      <c r="AA85" s="149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</row>
    <row r="86" spans="1:38" outlineLevel="2" x14ac:dyDescent="0.15"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7"/>
      <c r="Q86" s="117"/>
      <c r="R86" s="117"/>
      <c r="S86" s="117"/>
      <c r="T86" s="117"/>
      <c r="U86" s="118"/>
      <c r="V86" s="119"/>
      <c r="W86" s="119"/>
      <c r="X86" s="117"/>
      <c r="Y86" s="117"/>
      <c r="Z86" s="117"/>
      <c r="AA86" s="117"/>
      <c r="AB86" s="117"/>
      <c r="AC86" s="117"/>
      <c r="AD86" s="117"/>
      <c r="AE86" s="117"/>
      <c r="AF86" s="117"/>
      <c r="AG86" s="117"/>
      <c r="AH86" s="117"/>
      <c r="AI86" s="117"/>
      <c r="AJ86" s="117"/>
      <c r="AK86" s="117"/>
      <c r="AL86" s="117"/>
    </row>
    <row r="87" spans="1:38" outlineLevel="2" x14ac:dyDescent="0.15">
      <c r="A87" s="78" t="s">
        <v>81</v>
      </c>
      <c r="B87" s="142" t="e">
        <f>SUM(B74,#REF!,#REF!,#REF!,#REF!)</f>
        <v>#REF!</v>
      </c>
      <c r="C87" s="142">
        <f t="shared" ref="C87:Q87" si="184">C74+C71+C68+C62+C53</f>
        <v>8999.2000000000007</v>
      </c>
      <c r="D87" s="142">
        <f t="shared" si="184"/>
        <v>9815</v>
      </c>
      <c r="E87" s="142">
        <f t="shared" si="184"/>
        <v>9340.2000000000007</v>
      </c>
      <c r="F87" s="142">
        <f t="shared" si="184"/>
        <v>9532.7999999999993</v>
      </c>
      <c r="G87" s="142">
        <f t="shared" si="184"/>
        <v>9722.9</v>
      </c>
      <c r="H87" s="142">
        <f t="shared" si="184"/>
        <v>10803.4</v>
      </c>
      <c r="I87" s="142">
        <f t="shared" si="184"/>
        <v>10439.5</v>
      </c>
      <c r="J87" s="142">
        <f t="shared" si="184"/>
        <v>12009.9</v>
      </c>
      <c r="K87" s="142">
        <f t="shared" si="184"/>
        <v>10765.900000000001</v>
      </c>
      <c r="L87" s="142">
        <f t="shared" si="184"/>
        <v>10170.700000000001</v>
      </c>
      <c r="M87" s="126">
        <f t="shared" si="184"/>
        <v>10367.01323160675</v>
      </c>
      <c r="N87" s="126">
        <f t="shared" si="184"/>
        <v>11186.886750929421</v>
      </c>
      <c r="O87" s="126">
        <f t="shared" si="184"/>
        <v>11344.365501421889</v>
      </c>
      <c r="P87" s="126">
        <f t="shared" si="184"/>
        <v>11558.375839417789</v>
      </c>
      <c r="Q87" s="126">
        <f t="shared" si="184"/>
        <v>11596.277088000506</v>
      </c>
      <c r="R87" s="117"/>
      <c r="S87" s="117"/>
      <c r="T87" s="117"/>
      <c r="U87" s="118"/>
      <c r="V87" s="119"/>
      <c r="W87" s="119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7"/>
      <c r="AL87" s="117"/>
    </row>
    <row r="88" spans="1:38" outlineLevel="2" x14ac:dyDescent="0.15">
      <c r="A88" s="108"/>
      <c r="B88" s="142"/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8"/>
      <c r="N88" s="148"/>
      <c r="O88" s="148"/>
      <c r="P88" s="117"/>
      <c r="Q88" s="117"/>
      <c r="R88" s="117"/>
      <c r="S88" s="117"/>
      <c r="T88" s="117"/>
      <c r="U88" s="118"/>
      <c r="V88" s="119"/>
      <c r="W88" s="119"/>
      <c r="X88" s="117"/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17"/>
      <c r="AJ88" s="117"/>
      <c r="AK88" s="117"/>
      <c r="AL88" s="117"/>
    </row>
    <row r="89" spans="1:38" outlineLevel="2" x14ac:dyDescent="0.15">
      <c r="A89" s="78" t="str">
        <f>"Reconcile "&amp;A92&amp;" with"&amp;" above"</f>
        <v>Reconcile Total Expenses (Historical are Broker Actual) with above</v>
      </c>
      <c r="B89" s="133"/>
      <c r="C89" s="133">
        <f>C92-C87</f>
        <v>42.389999999999418</v>
      </c>
      <c r="D89" s="133">
        <f t="shared" ref="D89:K89" si="185">D92-D87</f>
        <v>-760.19999999999891</v>
      </c>
      <c r="E89" s="133">
        <f>E92-E87</f>
        <v>97.099999999998545</v>
      </c>
      <c r="F89" s="133">
        <f t="shared" si="185"/>
        <v>174.10000000000036</v>
      </c>
      <c r="G89" s="133">
        <f t="shared" si="185"/>
        <v>140.60000000000036</v>
      </c>
      <c r="H89" s="133">
        <f t="shared" si="185"/>
        <v>127.80000000000109</v>
      </c>
      <c r="I89" s="133">
        <f t="shared" si="185"/>
        <v>134.19999999999891</v>
      </c>
      <c r="J89" s="133">
        <f t="shared" si="185"/>
        <v>147.20000000000073</v>
      </c>
      <c r="K89" s="133">
        <f t="shared" si="185"/>
        <v>261.59999999999854</v>
      </c>
      <c r="L89" s="133">
        <f>L92-L87</f>
        <v>373.29999999999927</v>
      </c>
      <c r="M89" s="151"/>
      <c r="N89" s="151"/>
      <c r="O89" s="151"/>
      <c r="P89" s="117"/>
      <c r="Q89" s="117"/>
      <c r="R89" s="117"/>
      <c r="S89" s="117"/>
      <c r="T89" s="117"/>
      <c r="U89" s="118"/>
      <c r="V89" s="119"/>
      <c r="W89" s="119"/>
      <c r="X89" s="117"/>
      <c r="Y89" s="117"/>
      <c r="Z89" s="117"/>
      <c r="AA89" s="117"/>
      <c r="AB89" s="117"/>
      <c r="AC89" s="117"/>
      <c r="AD89" s="117"/>
      <c r="AE89" s="117"/>
      <c r="AF89" s="117"/>
      <c r="AG89" s="117"/>
      <c r="AH89" s="117"/>
      <c r="AI89" s="117"/>
      <c r="AJ89" s="117"/>
      <c r="AK89" s="117"/>
      <c r="AL89" s="117"/>
    </row>
    <row r="90" spans="1:38" outlineLevel="2" x14ac:dyDescent="0.15">
      <c r="A90" s="128" t="s">
        <v>267</v>
      </c>
      <c r="C90" s="138">
        <f>C89/C87</f>
        <v>4.7104187038847249E-3</v>
      </c>
      <c r="D90" s="138">
        <f t="shared" ref="D90:L90" si="186">D89/D87</f>
        <v>-7.7452878247580126E-2</v>
      </c>
      <c r="E90" s="138">
        <f t="shared" si="186"/>
        <v>1.0395922999507349E-2</v>
      </c>
      <c r="F90" s="138">
        <f t="shared" si="186"/>
        <v>1.8263259483048043E-2</v>
      </c>
      <c r="G90" s="138">
        <f t="shared" si="186"/>
        <v>1.4460706167912904E-2</v>
      </c>
      <c r="H90" s="138">
        <f t="shared" si="186"/>
        <v>1.1829609197104716E-2</v>
      </c>
      <c r="I90" s="138">
        <f t="shared" si="186"/>
        <v>1.2855021792231323E-2</v>
      </c>
      <c r="J90" s="138">
        <f t="shared" si="186"/>
        <v>1.2256555008784481E-2</v>
      </c>
      <c r="K90" s="138">
        <f t="shared" si="186"/>
        <v>2.429894388764511E-2</v>
      </c>
      <c r="L90" s="138">
        <f t="shared" si="186"/>
        <v>3.6703471737441797E-2</v>
      </c>
      <c r="M90" s="150"/>
      <c r="N90" s="150"/>
      <c r="O90" s="150"/>
      <c r="P90" s="117"/>
      <c r="Q90" s="117"/>
      <c r="R90" s="117"/>
      <c r="S90" s="117"/>
      <c r="T90" s="117"/>
      <c r="U90" s="118"/>
      <c r="V90" s="119"/>
      <c r="W90" s="119"/>
      <c r="X90" s="117"/>
      <c r="Y90" s="117"/>
      <c r="Z90" s="117"/>
      <c r="AA90" s="117"/>
      <c r="AB90" s="117"/>
      <c r="AC90" s="117"/>
      <c r="AD90" s="117"/>
      <c r="AE90" s="117"/>
      <c r="AF90" s="117"/>
      <c r="AG90" s="117"/>
      <c r="AH90" s="117"/>
      <c r="AI90" s="117"/>
      <c r="AJ90" s="117"/>
      <c r="AK90" s="117"/>
      <c r="AL90" s="117"/>
    </row>
    <row r="91" spans="1:38" outlineLevel="2" x14ac:dyDescent="0.15">
      <c r="A91" s="125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42"/>
      <c r="N91" s="142"/>
      <c r="O91" s="142"/>
      <c r="P91" s="117"/>
      <c r="Q91" s="117"/>
      <c r="R91" s="117"/>
      <c r="S91" s="117"/>
      <c r="T91" s="117"/>
      <c r="U91" s="118"/>
      <c r="V91" s="119"/>
      <c r="W91" s="119"/>
      <c r="X91" s="117"/>
      <c r="Y91" s="117"/>
      <c r="Z91" s="117"/>
      <c r="AA91" s="117"/>
      <c r="AB91" s="117"/>
      <c r="AC91" s="117"/>
      <c r="AD91" s="117"/>
      <c r="AE91" s="117"/>
      <c r="AF91" s="117"/>
      <c r="AG91" s="117"/>
      <c r="AH91" s="117"/>
      <c r="AI91" s="117"/>
      <c r="AJ91" s="117"/>
      <c r="AK91" s="117"/>
      <c r="AL91" s="117"/>
    </row>
    <row r="92" spans="1:38" outlineLevel="2" x14ac:dyDescent="0.15">
      <c r="A92" s="108" t="str">
        <f>"Total Expenses (Historical are "&amp;B2&amp;")"</f>
        <v>Total Expenses (Historical are Broker Actual)</v>
      </c>
      <c r="B92" s="140">
        <f t="shared" ref="B92:L92" si="187">B49-B94</f>
        <v>9275.6999999999989</v>
      </c>
      <c r="C92" s="140">
        <f t="shared" si="187"/>
        <v>9041.59</v>
      </c>
      <c r="D92" s="140">
        <f t="shared" si="187"/>
        <v>9054.8000000000011</v>
      </c>
      <c r="E92" s="140">
        <f t="shared" si="187"/>
        <v>9437.2999999999993</v>
      </c>
      <c r="F92" s="140">
        <f t="shared" si="187"/>
        <v>9706.9</v>
      </c>
      <c r="G92" s="140">
        <f t="shared" si="187"/>
        <v>9863.5</v>
      </c>
      <c r="H92" s="140">
        <f t="shared" si="187"/>
        <v>10931.2</v>
      </c>
      <c r="I92" s="140">
        <f t="shared" si="187"/>
        <v>10573.699999999999</v>
      </c>
      <c r="J92" s="140">
        <f t="shared" si="187"/>
        <v>12157.1</v>
      </c>
      <c r="K92" s="140">
        <f t="shared" si="187"/>
        <v>11027.5</v>
      </c>
      <c r="L92" s="140">
        <f t="shared" si="187"/>
        <v>10544</v>
      </c>
      <c r="M92" s="134">
        <f>M87+M89</f>
        <v>10367.01323160675</v>
      </c>
      <c r="N92" s="134">
        <f t="shared" ref="N92:Q92" si="188">N87+N89</f>
        <v>11186.886750929421</v>
      </c>
      <c r="O92" s="134">
        <f t="shared" si="188"/>
        <v>11344.365501421889</v>
      </c>
      <c r="P92" s="134">
        <f>P87+P89</f>
        <v>11558.375839417789</v>
      </c>
      <c r="Q92" s="134">
        <f t="shared" si="188"/>
        <v>11596.277088000506</v>
      </c>
      <c r="R92" s="117"/>
      <c r="S92" s="117"/>
      <c r="T92" s="117"/>
      <c r="U92" s="118"/>
      <c r="V92" s="119"/>
      <c r="W92" s="119"/>
      <c r="X92" s="117"/>
      <c r="Y92" s="117"/>
      <c r="Z92" s="117"/>
      <c r="AA92" s="117"/>
      <c r="AB92" s="117"/>
      <c r="AC92" s="117"/>
      <c r="AD92" s="117"/>
      <c r="AE92" s="117"/>
      <c r="AF92" s="117"/>
      <c r="AG92" s="117"/>
      <c r="AH92" s="117"/>
      <c r="AI92" s="117"/>
      <c r="AJ92" s="117"/>
      <c r="AK92" s="117"/>
      <c r="AL92" s="117"/>
    </row>
    <row r="93" spans="1:38" outlineLevel="2" x14ac:dyDescent="0.15"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50"/>
      <c r="N93" s="150"/>
      <c r="O93" s="150"/>
      <c r="P93" s="117"/>
      <c r="Q93" s="117"/>
      <c r="R93" s="117"/>
      <c r="S93" s="117"/>
      <c r="T93" s="117"/>
      <c r="U93" s="118"/>
      <c r="V93" s="119"/>
      <c r="W93" s="119"/>
      <c r="X93" s="117"/>
      <c r="Y93" s="117"/>
      <c r="Z93" s="117"/>
      <c r="AA93" s="117"/>
      <c r="AB93" s="117"/>
      <c r="AC93" s="117"/>
      <c r="AD93" s="117"/>
      <c r="AE93" s="117"/>
      <c r="AF93" s="117"/>
      <c r="AG93" s="117"/>
      <c r="AH93" s="117"/>
      <c r="AI93" s="117"/>
      <c r="AJ93" s="117"/>
      <c r="AK93" s="117"/>
      <c r="AL93" s="117"/>
    </row>
    <row r="94" spans="1:38" outlineLevel="2" x14ac:dyDescent="0.15">
      <c r="A94" s="108" t="s">
        <v>82</v>
      </c>
      <c r="B94" s="140">
        <f>CHOOSE(IF($B$1=2,2,1),'GAAP-IFRS'!E15,IF('Broker Actual'!E15="-",'GAAP-IFRS'!E15,'Broker Actual'!E15))</f>
        <v>1239.7</v>
      </c>
      <c r="C94" s="140">
        <f>CHOOSE(IF($B$1=2,2,1),'GAAP-IFRS'!F15,IF('Broker Actual'!F15="-",'GAAP-IFRS'!F15,'Broker Actual'!F15))</f>
        <v>1312.21</v>
      </c>
      <c r="D94" s="140">
        <f>CHOOSE(IF($B$1=2,2,1),'GAAP-IFRS'!G15,IF('Broker Actual'!G15="-",'GAAP-IFRS'!G15,'Broker Actual'!G15))</f>
        <v>1454.9</v>
      </c>
      <c r="E94" s="140">
        <f>CHOOSE(IF($B$1=2,2,1),'GAAP-IFRS'!H15,IF('Broker Actual'!H15="-",'GAAP-IFRS'!H15,'Broker Actual'!H15))</f>
        <v>1294</v>
      </c>
      <c r="F94" s="140">
        <f>CHOOSE(IF($B$1=2,2,1),'GAAP-IFRS'!I15,IF('Broker Actual'!I15="-",'GAAP-IFRS'!I15,'Broker Actual'!I15))</f>
        <v>1339.6</v>
      </c>
      <c r="G94" s="140">
        <f>CHOOSE(IF($B$1=2,2,1),'GAAP-IFRS'!J15,IF('Broker Actual'!J15="-",'GAAP-IFRS'!J15,'Broker Actual'!J15))</f>
        <v>1423.3</v>
      </c>
      <c r="H94" s="140">
        <f>CHOOSE(IF($B$1=2,2,1),'GAAP-IFRS'!K15,IF('Broker Actual'!K15="-",'GAAP-IFRS'!K15,'Broker Actual'!K15))</f>
        <v>667.3</v>
      </c>
      <c r="I94" s="140">
        <f>CHOOSE(IF($B$1=2,2,1),'GAAP-IFRS'!L15,IF('Broker Actual'!L15="-",'GAAP-IFRS'!L15,'Broker Actual'!L15))</f>
        <v>1425.2</v>
      </c>
      <c r="J94" s="140">
        <f>CHOOSE(IF($B$1=2,2,1),'GAAP-IFRS'!M15,IF('Broker Actual'!M15="-",'GAAP-IFRS'!M15,'Broker Actual'!M15))</f>
        <v>1005</v>
      </c>
      <c r="K94" s="140">
        <f>CHOOSE(IF($B$1=2,2,1),'GAAP-IFRS'!N15,IF('Broker Actual'!N15="-",'GAAP-IFRS'!N15,'Broker Actual'!N15))</f>
        <v>986.3</v>
      </c>
      <c r="L94" s="140">
        <f>CHOOSE(IF($B$1=2,2,1),'GAAP-IFRS'!O15,IF('Broker Actual'!O15="-",'GAAP-IFRS'!O15,'Broker Actual'!O15))</f>
        <v>1447</v>
      </c>
      <c r="M94" s="142">
        <f>M49-M92</f>
        <v>2079.3258696491248</v>
      </c>
      <c r="N94" s="142">
        <f>N49-N92</f>
        <v>2222.2102755670821</v>
      </c>
      <c r="O94" s="142">
        <f>O49-O92</f>
        <v>2416.077879758448</v>
      </c>
      <c r="P94" s="142">
        <f>P49-P92</f>
        <v>2385.2988021431374</v>
      </c>
      <c r="Q94" s="142">
        <f>Q49-Q92</f>
        <v>2441.9713696039144</v>
      </c>
      <c r="R94" s="142"/>
      <c r="S94" s="117"/>
      <c r="T94" s="117"/>
      <c r="U94" s="118"/>
      <c r="V94" s="119"/>
      <c r="W94" s="119"/>
      <c r="X94" s="117"/>
      <c r="Y94" s="117"/>
      <c r="Z94" s="117"/>
      <c r="AA94" s="75"/>
      <c r="AB94" s="117"/>
      <c r="AC94" s="117"/>
      <c r="AD94" s="117"/>
      <c r="AE94" s="117"/>
      <c r="AF94" s="117"/>
      <c r="AG94" s="117"/>
      <c r="AH94" s="117"/>
      <c r="AI94" s="117"/>
      <c r="AJ94" s="117"/>
      <c r="AK94" s="117"/>
      <c r="AL94" s="117"/>
    </row>
    <row r="95" spans="1:38" outlineLevel="2" x14ac:dyDescent="0.15">
      <c r="A95" s="128" t="s">
        <v>74</v>
      </c>
      <c r="B95" s="117"/>
      <c r="C95" s="138">
        <f>C94/B94-1</f>
        <v>5.8489957247721103E-2</v>
      </c>
      <c r="D95" s="138">
        <f t="shared" ref="D95:L95" si="189">D94/C94-1</f>
        <v>0.10874021688601676</v>
      </c>
      <c r="E95" s="138">
        <f t="shared" si="189"/>
        <v>-0.11059179325039525</v>
      </c>
      <c r="F95" s="138">
        <f t="shared" si="189"/>
        <v>3.5239567233384728E-2</v>
      </c>
      <c r="G95" s="138">
        <f t="shared" si="189"/>
        <v>6.2481337712750218E-2</v>
      </c>
      <c r="H95" s="138">
        <f t="shared" si="189"/>
        <v>-0.53115998032740808</v>
      </c>
      <c r="I95" s="138">
        <f t="shared" si="189"/>
        <v>1.1357710175333438</v>
      </c>
      <c r="J95" s="138">
        <f t="shared" si="189"/>
        <v>-0.29483581251754143</v>
      </c>
      <c r="K95" s="138">
        <f t="shared" si="189"/>
        <v>-1.8606965174129408E-2</v>
      </c>
      <c r="L95" s="138">
        <f t="shared" si="189"/>
        <v>0.46709925986008316</v>
      </c>
      <c r="M95" s="138">
        <f>M94/L94-1</f>
        <v>0.43699092581141996</v>
      </c>
      <c r="N95" s="138">
        <f t="shared" ref="N95" si="190">N94/M94-1</f>
        <v>6.8716697081284472E-2</v>
      </c>
      <c r="O95" s="138">
        <f t="shared" ref="O95" si="191">O94/N94-1</f>
        <v>8.7240890892691603E-2</v>
      </c>
      <c r="P95" s="138">
        <f t="shared" ref="P95" si="192">P94/O94-1</f>
        <v>-1.2739273792940708E-2</v>
      </c>
      <c r="Q95" s="138">
        <f t="shared" ref="Q95" si="193">Q94/P94-1</f>
        <v>2.3759106158883769E-2</v>
      </c>
      <c r="R95" s="117"/>
      <c r="S95" s="117"/>
      <c r="T95" s="117"/>
      <c r="U95" s="118"/>
      <c r="V95" s="119" t="s">
        <v>78</v>
      </c>
      <c r="W95" s="119" t="s">
        <v>83</v>
      </c>
      <c r="X95" s="117" cm="1">
        <f t="array" ref="X95">_xll.FDSC("--",$A$1,""&amp;$V95&amp;"("&amp;$W95&amp;","&amp;D$2&amp;",ANNUAL_ROLL,+1,0,,,'CURRENCY="&amp;$E$1&amp;"')")</f>
        <v>1779.7343000000001</v>
      </c>
      <c r="Y95" s="117" cm="1">
        <f t="array" ref="Y95">_xll.FDSC("--",$A$1,""&amp;$V95&amp;"("&amp;$W95&amp;","&amp;D$2&amp;",ANNUAL_ROLL,+2,0,,,'CURRENCY="&amp;$E$1&amp;"')")</f>
        <v>1892.9899</v>
      </c>
      <c r="Z95" s="117" cm="1">
        <f t="array" ref="Z95">_xll.FDSC("--",$A$1,""&amp;$V95&amp;"("&amp;$W95&amp;","&amp;D$2&amp;",ANNUAL_ROLL,+3,0,,,'CURRENCY="&amp;$E$1&amp;"')")</f>
        <v>1931.6980000000001</v>
      </c>
      <c r="AA95" s="117"/>
      <c r="AB95" s="117"/>
      <c r="AC95" s="117"/>
      <c r="AD95" s="117"/>
      <c r="AE95" s="117"/>
      <c r="AF95" s="117"/>
      <c r="AG95" s="117"/>
      <c r="AH95" s="117"/>
      <c r="AI95" s="117"/>
      <c r="AJ95" s="117"/>
      <c r="AK95" s="117"/>
      <c r="AL95" s="117"/>
    </row>
    <row r="96" spans="1:38" s="108" customFormat="1" outlineLevel="2" x14ac:dyDescent="0.15">
      <c r="A96" s="108" t="s">
        <v>84</v>
      </c>
      <c r="B96" s="152">
        <f t="shared" ref="B96:Q96" si="194">B94/B49</f>
        <v>0.11789375582479032</v>
      </c>
      <c r="C96" s="152">
        <f t="shared" si="194"/>
        <v>0.12673704340435396</v>
      </c>
      <c r="D96" s="152">
        <f t="shared" si="194"/>
        <v>0.138434018097567</v>
      </c>
      <c r="E96" s="152">
        <f t="shared" si="194"/>
        <v>0.12058184935655514</v>
      </c>
      <c r="F96" s="152">
        <f t="shared" si="194"/>
        <v>0.12126918028334766</v>
      </c>
      <c r="G96" s="152">
        <f t="shared" si="194"/>
        <v>0.12610305843994754</v>
      </c>
      <c r="H96" s="152">
        <f t="shared" si="194"/>
        <v>5.7533301720050001E-2</v>
      </c>
      <c r="I96" s="152">
        <f t="shared" si="194"/>
        <v>0.11877755460917251</v>
      </c>
      <c r="J96" s="152">
        <f t="shared" si="194"/>
        <v>7.6355596751278287E-2</v>
      </c>
      <c r="K96" s="152">
        <f t="shared" si="194"/>
        <v>8.20972548236195E-2</v>
      </c>
      <c r="L96" s="152">
        <f t="shared" si="194"/>
        <v>0.12067383871236761</v>
      </c>
      <c r="M96" s="152">
        <f t="shared" si="194"/>
        <v>0.16706325070633132</v>
      </c>
      <c r="N96" s="152">
        <f t="shared" si="194"/>
        <v>0.16572408053845636</v>
      </c>
      <c r="O96" s="152">
        <f t="shared" si="194"/>
        <v>0.175581397548776</v>
      </c>
      <c r="P96" s="152">
        <f t="shared" si="194"/>
        <v>0.17106672835247072</v>
      </c>
      <c r="Q96" s="152">
        <f t="shared" si="194"/>
        <v>0.17395128580169242</v>
      </c>
      <c r="R96" s="145"/>
      <c r="S96" s="145"/>
      <c r="T96" s="145"/>
      <c r="U96" s="146"/>
      <c r="V96" s="119"/>
      <c r="W96" s="119"/>
      <c r="X96" s="117"/>
      <c r="Y96" s="117"/>
      <c r="Z96" s="117"/>
      <c r="AA96" s="7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5"/>
      <c r="AL96" s="145"/>
    </row>
    <row r="97" spans="1:38" outlineLevel="2" x14ac:dyDescent="0.15">
      <c r="A97" s="128" t="s">
        <v>85</v>
      </c>
      <c r="B97" s="117"/>
      <c r="C97" s="153">
        <f>(C96-B96)*100</f>
        <v>0.8843287579563639</v>
      </c>
      <c r="D97" s="153">
        <f t="shared" ref="D97:L97" si="195">(D96-C96)*100</f>
        <v>1.1696974693213043</v>
      </c>
      <c r="E97" s="153">
        <f>(E96-D96)*100</f>
        <v>-1.7852168741011865</v>
      </c>
      <c r="F97" s="153">
        <f t="shared" si="195"/>
        <v>6.8733092679251762E-2</v>
      </c>
      <c r="G97" s="153">
        <f t="shared" si="195"/>
        <v>0.48338781565998856</v>
      </c>
      <c r="H97" s="153">
        <f t="shared" si="195"/>
        <v>-6.8569756719897539</v>
      </c>
      <c r="I97" s="153">
        <f t="shared" si="195"/>
        <v>6.124425288912251</v>
      </c>
      <c r="J97" s="153">
        <f t="shared" si="195"/>
        <v>-4.2421957857894226</v>
      </c>
      <c r="K97" s="153">
        <f t="shared" si="195"/>
        <v>0.57416580723412136</v>
      </c>
      <c r="L97" s="153">
        <f t="shared" si="195"/>
        <v>3.8576583888748113</v>
      </c>
      <c r="M97" s="153">
        <f t="shared" ref="M97" si="196">(M96-L96)*100</f>
        <v>4.6389411993963705</v>
      </c>
      <c r="N97" s="153">
        <f t="shared" ref="N97" si="197">(N96-M96)*100</f>
        <v>-0.13391701678749646</v>
      </c>
      <c r="O97" s="153">
        <f t="shared" ref="O97" si="198">(O96-N96)*100</f>
        <v>0.98573170103196384</v>
      </c>
      <c r="P97" s="153">
        <f t="shared" ref="P97" si="199">(P96-O96)*100</f>
        <v>-0.45146691963052765</v>
      </c>
      <c r="Q97" s="153">
        <f t="shared" ref="Q97" si="200">(Q96-P96)*100</f>
        <v>0.28845574492216974</v>
      </c>
      <c r="R97" s="117"/>
      <c r="S97" s="117"/>
      <c r="T97" s="117"/>
      <c r="U97" s="118"/>
      <c r="V97" s="147"/>
      <c r="W97" s="147"/>
      <c r="X97" s="145"/>
      <c r="Y97" s="145"/>
      <c r="Z97" s="145"/>
      <c r="AA97" s="117"/>
      <c r="AB97" s="117"/>
      <c r="AC97" s="117"/>
      <c r="AD97" s="117"/>
      <c r="AE97" s="117"/>
      <c r="AF97" s="117"/>
      <c r="AG97" s="117"/>
      <c r="AH97" s="117"/>
      <c r="AI97" s="117"/>
      <c r="AJ97" s="117"/>
      <c r="AK97" s="117"/>
      <c r="AL97" s="117"/>
    </row>
    <row r="98" spans="1:38" outlineLevel="2" x14ac:dyDescent="0.15">
      <c r="A98" s="128"/>
      <c r="B98" s="117"/>
      <c r="C98" s="154"/>
      <c r="D98" s="154"/>
      <c r="E98" s="154"/>
      <c r="F98" s="154"/>
      <c r="G98" s="154"/>
      <c r="H98" s="154"/>
      <c r="I98" s="154"/>
      <c r="J98" s="154"/>
      <c r="K98" s="154"/>
      <c r="L98" s="154"/>
      <c r="M98" s="138"/>
      <c r="N98" s="138"/>
      <c r="O98" s="138"/>
      <c r="P98" s="117"/>
      <c r="Q98" s="117"/>
      <c r="R98" s="117"/>
      <c r="S98" s="117"/>
      <c r="T98" s="117"/>
      <c r="U98" s="118"/>
      <c r="V98" s="119"/>
      <c r="W98" s="119"/>
      <c r="X98" s="117"/>
      <c r="Y98" s="117"/>
      <c r="Z98" s="117"/>
      <c r="AA98" s="117"/>
      <c r="AB98" s="117"/>
      <c r="AC98" s="117"/>
      <c r="AD98" s="117"/>
      <c r="AE98" s="117"/>
      <c r="AF98" s="117"/>
      <c r="AG98" s="117"/>
      <c r="AH98" s="117"/>
      <c r="AI98" s="117"/>
      <c r="AJ98" s="117"/>
      <c r="AK98" s="117"/>
      <c r="AL98" s="117"/>
    </row>
    <row r="99" spans="1:38" outlineLevel="2" x14ac:dyDescent="0.15">
      <c r="A99" s="78" t="s">
        <v>86</v>
      </c>
      <c r="B99" s="117"/>
      <c r="C99" s="138">
        <f t="shared" ref="C99:L99" si="201">C101/(SUM(B196,C196,B197,C197)/2)</f>
        <v>4.9273691882638103E-2</v>
      </c>
      <c r="D99" s="138">
        <f t="shared" si="201"/>
        <v>5.4817063136530689E-2</v>
      </c>
      <c r="E99" s="138">
        <f t="shared" si="201"/>
        <v>5.7542099605876029E-2</v>
      </c>
      <c r="F99" s="138">
        <f t="shared" si="201"/>
        <v>5.4854502827196248E-2</v>
      </c>
      <c r="G99" s="138">
        <f t="shared" si="201"/>
        <v>5.1602472337773875E-2</v>
      </c>
      <c r="H99" s="138">
        <f t="shared" si="201"/>
        <v>5.4284553946121562E-2</v>
      </c>
      <c r="I99" s="138">
        <f t="shared" si="201"/>
        <v>5.3675576209337862E-2</v>
      </c>
      <c r="J99" s="138">
        <f t="shared" si="201"/>
        <v>5.3707438088467847E-2</v>
      </c>
      <c r="K99" s="138">
        <f t="shared" si="201"/>
        <v>5.6906140702941345E-2</v>
      </c>
      <c r="L99" s="138">
        <f t="shared" si="201"/>
        <v>5.8355286578853686E-2</v>
      </c>
      <c r="M99" s="138">
        <v>5.8000000000000003E-2</v>
      </c>
      <c r="N99" s="138">
        <f>M99</f>
        <v>5.8000000000000003E-2</v>
      </c>
      <c r="O99" s="138">
        <f t="shared" ref="O99" si="202">N99</f>
        <v>5.8000000000000003E-2</v>
      </c>
      <c r="P99" s="138">
        <f t="shared" ref="P99" si="203">O99</f>
        <v>5.8000000000000003E-2</v>
      </c>
      <c r="Q99" s="138">
        <f t="shared" ref="Q99" si="204">P99</f>
        <v>5.8000000000000003E-2</v>
      </c>
      <c r="R99" s="117"/>
      <c r="S99" s="117"/>
      <c r="T99" s="117"/>
      <c r="U99" s="118"/>
      <c r="V99" s="119"/>
      <c r="W99" s="119"/>
      <c r="X99" s="117"/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7"/>
      <c r="AL99" s="117"/>
    </row>
    <row r="100" spans="1:38" outlineLevel="2" x14ac:dyDescent="0.15">
      <c r="A100" s="94" t="s">
        <v>87</v>
      </c>
      <c r="B100" s="155"/>
      <c r="C100" s="155"/>
      <c r="D100" s="155"/>
      <c r="E100" s="155"/>
      <c r="F100" s="155"/>
      <c r="G100" s="155"/>
      <c r="H100" s="155"/>
      <c r="I100" s="155"/>
      <c r="J100" s="155"/>
      <c r="K100" s="155"/>
      <c r="L100" s="155"/>
      <c r="M100" s="142"/>
      <c r="N100" s="142"/>
      <c r="O100" s="142"/>
      <c r="P100" s="117"/>
      <c r="Q100" s="117"/>
      <c r="R100" s="117"/>
      <c r="S100" s="117"/>
      <c r="T100" s="117"/>
      <c r="U100" s="118"/>
      <c r="V100" s="119" t="s">
        <v>78</v>
      </c>
      <c r="W100" s="119" t="s">
        <v>89</v>
      </c>
      <c r="X100" s="117" cm="1">
        <f t="array" ref="X100">_xll.FDSC("--",$A$1,""&amp;$V100&amp;"("&amp;$W100&amp;","&amp;D$2&amp;",ANNUAL_ROLL,+1,0,,,'CURRENCY="&amp;$E$1&amp;"')")</f>
        <v>245.3</v>
      </c>
      <c r="Y100" s="117" cm="1">
        <f t="array" ref="Y100">_xll.FDSC("--",$A$1,""&amp;$V100&amp;"("&amp;$W100&amp;","&amp;D$2&amp;",ANNUAL_ROLL,+2,0,,,'CURRENCY="&amp;$E$1&amp;"')")</f>
        <v>200</v>
      </c>
      <c r="Z100" s="117" cm="1">
        <f t="array" ref="Z100">_xll.FDSC("--",$A$1,""&amp;$V100&amp;"("&amp;$W100&amp;","&amp;D$2&amp;",ANNUAL_ROLL,+3,0,,,'CURRENCY="&amp;$E$1&amp;"')")</f>
        <v>269</v>
      </c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</row>
    <row r="101" spans="1:38" s="108" customFormat="1" outlineLevel="2" x14ac:dyDescent="0.15">
      <c r="A101" s="78" t="s">
        <v>88</v>
      </c>
      <c r="B101" s="140">
        <f>CHOOSE(IF($B$1=2,2,1),'GAAP-IFRS'!E16,IF('Broker Actual'!E16="-",'GAAP-IFRS'!E16,'Broker Actual'!E16))</f>
        <v>139.69999999999999</v>
      </c>
      <c r="C101" s="140">
        <f>CHOOSE(IF($B$1=2,2,1),'GAAP-IFRS'!F16,IF('Broker Actual'!F16="-",'GAAP-IFRS'!F16,'Broker Actual'!F16))</f>
        <v>145.35</v>
      </c>
      <c r="D101" s="140">
        <f>CHOOSE(IF($B$1=2,2,1),'GAAP-IFRS'!G16,IF('Broker Actual'!G16="-",'GAAP-IFRS'!G16,'Broker Actual'!G16))</f>
        <v>149.9</v>
      </c>
      <c r="E101" s="140">
        <f>CHOOSE(IF($B$1=2,2,1),'GAAP-IFRS'!H16,IF('Broker Actual'!H16="-",'GAAP-IFRS'!H16,'Broker Actual'!H16))</f>
        <v>160.6</v>
      </c>
      <c r="F101" s="140">
        <f>CHOOSE(IF($B$1=2,2,1),'GAAP-IFRS'!I16,IF('Broker Actual'!I16="-",'GAAP-IFRS'!I16,'Broker Actual'!I16))</f>
        <v>159.1</v>
      </c>
      <c r="G101" s="140">
        <f>CHOOSE(IF($B$1=2,2,1),'GAAP-IFRS'!J16,IF('Broker Actual'!J16="-",'GAAP-IFRS'!J16,'Broker Actual'!J16))</f>
        <v>153.19999999999999</v>
      </c>
      <c r="H101" s="140">
        <f>CHOOSE(IF($B$1=2,2,1),'GAAP-IFRS'!K16,IF('Broker Actual'!K16="-",'GAAP-IFRS'!K16,'Broker Actual'!K16))</f>
        <v>160.4</v>
      </c>
      <c r="I101" s="140">
        <f>CHOOSE(IF($B$1=2,2,1),'GAAP-IFRS'!L16,IF('Broker Actual'!L16="-",'GAAP-IFRS'!L16,'Broker Actual'!L16))</f>
        <v>172.1</v>
      </c>
      <c r="J101" s="140">
        <f>CHOOSE(IF($B$1=2,2,1),'GAAP-IFRS'!M16,IF('Broker Actual'!M16="-",'GAAP-IFRS'!M16,'Broker Actual'!M16))</f>
        <v>185.1</v>
      </c>
      <c r="K101" s="140">
        <f>CHOOSE(IF($B$1=2,2,1),'GAAP-IFRS'!N16,IF('Broker Actual'!N16="-",'GAAP-IFRS'!N16,'Broker Actual'!N16))</f>
        <v>198.5</v>
      </c>
      <c r="L101" s="140">
        <f>CHOOSE(IF($B$1=2,2,1),'GAAP-IFRS'!O16,IF('Broker Actual'!O16="-",'GAAP-IFRS'!O16,'Broker Actual'!O16))</f>
        <v>204.9</v>
      </c>
      <c r="M101" s="433">
        <v>200</v>
      </c>
      <c r="N101" s="433">
        <v>200</v>
      </c>
      <c r="O101" s="433">
        <v>270</v>
      </c>
      <c r="P101" s="433">
        <v>270</v>
      </c>
      <c r="Q101" s="433">
        <f>P101</f>
        <v>270</v>
      </c>
      <c r="R101" s="145"/>
      <c r="S101" s="145"/>
      <c r="T101" s="145"/>
      <c r="U101" s="146"/>
      <c r="V101" s="119"/>
      <c r="W101" s="119"/>
      <c r="X101" s="117"/>
      <c r="Y101" s="117"/>
      <c r="Z101" s="117"/>
      <c r="AA101" s="145"/>
      <c r="AB101" s="145"/>
      <c r="AC101" s="145"/>
      <c r="AD101" s="145"/>
      <c r="AE101" s="145"/>
      <c r="AF101" s="145"/>
      <c r="AG101" s="145"/>
      <c r="AH101" s="145"/>
      <c r="AI101" s="145"/>
      <c r="AJ101" s="145"/>
      <c r="AK101" s="145"/>
      <c r="AL101" s="145"/>
    </row>
    <row r="102" spans="1:38" outlineLevel="2" x14ac:dyDescent="0.15">
      <c r="B102" s="117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42"/>
      <c r="N102" s="142"/>
      <c r="O102" s="142"/>
      <c r="P102" s="117"/>
      <c r="Q102" s="117"/>
      <c r="R102" s="117"/>
      <c r="S102" s="117"/>
      <c r="T102" s="117"/>
      <c r="U102" s="118"/>
      <c r="V102" s="119"/>
      <c r="W102" s="119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/>
      <c r="AK102" s="117"/>
      <c r="AL102" s="117"/>
    </row>
    <row r="103" spans="1:38" outlineLevel="2" x14ac:dyDescent="0.15">
      <c r="A103" s="156" t="s">
        <v>90</v>
      </c>
      <c r="B103" s="140">
        <f>CHOOSE(IF($B$1=2,2,1),'GAAP-IFRS'!E17,IF('Broker Actual'!E17="-",'GAAP-IFRS'!E17,'Broker Actual'!E17))</f>
        <v>0</v>
      </c>
      <c r="C103" s="140">
        <f>CHOOSE(IF($B$1=2,2,1),'GAAP-IFRS'!F17,IF('Broker Actual'!F17="-",'GAAP-IFRS'!F17,'Broker Actual'!F17))</f>
        <v>0</v>
      </c>
      <c r="D103" s="140">
        <f>CHOOSE(IF($B$1=2,2,1),'GAAP-IFRS'!G17,IF('Broker Actual'!G17="-",'GAAP-IFRS'!G17,'Broker Actual'!G17))</f>
        <v>0</v>
      </c>
      <c r="E103" s="140">
        <f>CHOOSE(IF($B$1=2,2,1),'GAAP-IFRS'!H17,IF('Broker Actual'!H17="-",'GAAP-IFRS'!H17,'Broker Actual'!H17))</f>
        <v>0</v>
      </c>
      <c r="F103" s="140">
        <f>CHOOSE(IF($B$1=2,2,1),'GAAP-IFRS'!I17,IF('Broker Actual'!I17="-",'GAAP-IFRS'!I17,'Broker Actual'!I17))</f>
        <v>0</v>
      </c>
      <c r="G103" s="140">
        <f>CHOOSE(IF($B$1=2,2,1),'GAAP-IFRS'!J17,IF('Broker Actual'!J17="-",'GAAP-IFRS'!J17,'Broker Actual'!J17))</f>
        <v>0</v>
      </c>
      <c r="H103" s="140">
        <f>CHOOSE(IF($B$1=2,2,1),'GAAP-IFRS'!K17,IF('Broker Actual'!K17="-",'GAAP-IFRS'!K17,'Broker Actual'!K17))</f>
        <v>0</v>
      </c>
      <c r="I103" s="140">
        <f>CHOOSE(IF($B$1=2,2,1),'GAAP-IFRS'!L17,IF('Broker Actual'!L17="-",'GAAP-IFRS'!L17,'Broker Actual'!L17))</f>
        <v>0</v>
      </c>
      <c r="J103" s="140">
        <f>CHOOSE(IF($B$1=2,2,1),'GAAP-IFRS'!M17,IF('Broker Actual'!M17="-",'GAAP-IFRS'!M17,'Broker Actual'!M17))</f>
        <v>0</v>
      </c>
      <c r="K103" s="140">
        <f>CHOOSE(IF($B$1=2,2,1),'GAAP-IFRS'!N17,IF('Broker Actual'!N17="-",'GAAP-IFRS'!N17,'Broker Actual'!N17))</f>
        <v>0</v>
      </c>
      <c r="L103" s="140">
        <f>CHOOSE(IF($B$1=2,2,1),'GAAP-IFRS'!O17,IF('Broker Actual'!O17="-",'GAAP-IFRS'!O17,'Broker Actual'!O17))</f>
        <v>-72.2</v>
      </c>
      <c r="M103" s="151">
        <v>0</v>
      </c>
      <c r="N103" s="151">
        <f t="shared" ref="N103" si="205">M103</f>
        <v>0</v>
      </c>
      <c r="O103" s="151">
        <f t="shared" ref="O103" si="206">N103</f>
        <v>0</v>
      </c>
      <c r="P103" s="151">
        <f t="shared" ref="P103" si="207">O103</f>
        <v>0</v>
      </c>
      <c r="Q103" s="151">
        <f t="shared" ref="Q103" si="208">P103</f>
        <v>0</v>
      </c>
      <c r="R103" s="117"/>
      <c r="S103" s="117"/>
      <c r="T103" s="117"/>
      <c r="U103" s="118"/>
      <c r="V103" s="119"/>
      <c r="W103" s="119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7"/>
      <c r="AK103" s="117"/>
      <c r="AL103" s="117"/>
    </row>
    <row r="104" spans="1:38" outlineLevel="2" x14ac:dyDescent="0.15">
      <c r="A104" s="78" t="s">
        <v>91</v>
      </c>
      <c r="B104" s="140">
        <f>CHOOSE(IF($B$1=2,2,1),'GAAP-IFRS'!E18,IF('Broker Actual'!E18="-",'GAAP-IFRS'!E18,'Broker Actual'!E18))</f>
        <v>0</v>
      </c>
      <c r="C104" s="140">
        <f>CHOOSE(IF($B$1=2,2,1),'GAAP-IFRS'!F18,IF('Broker Actual'!F18="-",'GAAP-IFRS'!F18,'Broker Actual'!F18))</f>
        <v>0</v>
      </c>
      <c r="D104" s="140">
        <v>0</v>
      </c>
      <c r="E104" s="140">
        <v>0</v>
      </c>
      <c r="F104" s="140">
        <v>0</v>
      </c>
      <c r="G104" s="140">
        <v>0</v>
      </c>
      <c r="H104" s="140">
        <v>0</v>
      </c>
      <c r="I104" s="140">
        <f>CHOOSE(IF($B$1=2,2,1),'GAAP-IFRS'!L18,IF('Broker Actual'!L18="-",'GAAP-IFRS'!L18,'Broker Actual'!L18))</f>
        <v>27.3</v>
      </c>
      <c r="J104" s="140">
        <f>CHOOSE(IF($B$1=2,2,1),'GAAP-IFRS'!M18,IF('Broker Actual'!M18="-",'GAAP-IFRS'!M18,'Broker Actual'!M18))</f>
        <v>12.7</v>
      </c>
      <c r="K104" s="140">
        <f>CHOOSE(IF($B$1=2,2,1),'GAAP-IFRS'!N18,IF('Broker Actual'!N18="-",'GAAP-IFRS'!N18,'Broker Actual'!N18))</f>
        <v>93.3</v>
      </c>
      <c r="L104" s="140">
        <f>CHOOSE(IF($B$1=2,2,1),'GAAP-IFRS'!O18,IF('Broker Actual'!O18="-",'GAAP-IFRS'!O18,'Broker Actual'!O18))</f>
        <v>4.2</v>
      </c>
      <c r="M104" s="151">
        <v>0</v>
      </c>
      <c r="N104" s="151">
        <v>0</v>
      </c>
      <c r="O104" s="151">
        <v>0</v>
      </c>
      <c r="P104" s="151">
        <v>0</v>
      </c>
      <c r="Q104" s="151">
        <v>0</v>
      </c>
      <c r="R104" s="117"/>
      <c r="S104" s="117"/>
      <c r="T104" s="117"/>
      <c r="U104" s="118"/>
      <c r="V104" s="119"/>
      <c r="W104" s="119"/>
      <c r="X104" s="117"/>
      <c r="Y104" s="117"/>
      <c r="Z104" s="117"/>
      <c r="AA104" s="111"/>
      <c r="AB104" s="149"/>
      <c r="AC104" s="149"/>
      <c r="AD104" s="149"/>
      <c r="AE104" s="149"/>
      <c r="AF104" s="149"/>
      <c r="AG104" s="149"/>
      <c r="AH104" s="149"/>
      <c r="AI104" s="149"/>
      <c r="AJ104" s="149"/>
      <c r="AK104" s="149"/>
      <c r="AL104" s="149"/>
    </row>
    <row r="105" spans="1:38" outlineLevel="2" x14ac:dyDescent="0.15"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42"/>
      <c r="M105" s="153"/>
      <c r="N105" s="153"/>
      <c r="O105" s="153"/>
      <c r="P105" s="117"/>
      <c r="Q105" s="117"/>
      <c r="R105" s="117"/>
      <c r="S105" s="117"/>
      <c r="T105" s="117"/>
      <c r="U105" s="118"/>
      <c r="V105" s="119"/>
      <c r="W105" s="119"/>
      <c r="X105" s="117"/>
      <c r="Y105" s="117"/>
      <c r="Z105" s="117"/>
      <c r="AA105" s="161"/>
      <c r="AB105" s="149"/>
      <c r="AC105" s="149"/>
      <c r="AD105" s="149"/>
      <c r="AE105" s="149"/>
      <c r="AF105" s="149"/>
      <c r="AG105" s="149"/>
      <c r="AH105" s="149"/>
      <c r="AI105" s="149"/>
      <c r="AJ105" s="149"/>
      <c r="AK105" s="149"/>
      <c r="AL105" s="149"/>
    </row>
    <row r="106" spans="1:38" outlineLevel="2" x14ac:dyDescent="0.15">
      <c r="A106" s="125" t="s">
        <v>92</v>
      </c>
      <c r="B106" s="142">
        <f t="shared" ref="B106:K106" si="209">B108-(B94-B101+B103-B104)</f>
        <v>139.70000000000005</v>
      </c>
      <c r="C106" s="142">
        <f t="shared" si="209"/>
        <v>64.439999999999827</v>
      </c>
      <c r="D106" s="142">
        <f>D108-(D94-D101+D103-D104)</f>
        <v>-723.9</v>
      </c>
      <c r="E106" s="142">
        <f t="shared" si="209"/>
        <v>160.59999999999991</v>
      </c>
      <c r="F106" s="142">
        <f t="shared" si="209"/>
        <v>159.29999999999995</v>
      </c>
      <c r="G106" s="142">
        <f t="shared" si="209"/>
        <v>145.10000000000014</v>
      </c>
      <c r="H106" s="142">
        <f t="shared" si="209"/>
        <v>160.39999999999998</v>
      </c>
      <c r="I106" s="142">
        <f t="shared" si="209"/>
        <v>203.09999999999991</v>
      </c>
      <c r="J106" s="142">
        <f t="shared" si="209"/>
        <v>470.80000000000007</v>
      </c>
      <c r="K106" s="142">
        <f t="shared" si="209"/>
        <v>394.95000000000005</v>
      </c>
      <c r="L106" s="142">
        <f>L108-(L94-L101+L103-L104)</f>
        <v>436.50000000000023</v>
      </c>
      <c r="M106" s="151"/>
      <c r="N106" s="151"/>
      <c r="O106" s="151"/>
      <c r="P106" s="117"/>
      <c r="Q106" s="117"/>
      <c r="R106" s="117"/>
      <c r="S106" s="117"/>
      <c r="T106" s="117"/>
      <c r="U106" s="118"/>
      <c r="V106" s="119"/>
      <c r="W106" s="119"/>
      <c r="X106" s="117"/>
      <c r="Y106" s="117"/>
      <c r="Z106" s="117"/>
      <c r="AA106" s="117"/>
      <c r="AB106" s="149"/>
      <c r="AC106" s="149"/>
      <c r="AD106" s="149"/>
      <c r="AE106" s="149"/>
      <c r="AF106" s="149"/>
      <c r="AG106" s="149"/>
      <c r="AH106" s="149"/>
      <c r="AI106" s="149"/>
      <c r="AJ106" s="149"/>
      <c r="AK106" s="149"/>
      <c r="AL106" s="149"/>
    </row>
    <row r="107" spans="1:38" outlineLevel="2" x14ac:dyDescent="0.15"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42"/>
      <c r="M107" s="129"/>
      <c r="N107" s="129"/>
      <c r="O107" s="129"/>
      <c r="P107" s="117"/>
      <c r="Q107" s="117"/>
      <c r="R107" s="117"/>
      <c r="S107" s="117"/>
      <c r="T107" s="117"/>
      <c r="U107" s="118"/>
      <c r="V107" s="119" t="s">
        <v>78</v>
      </c>
      <c r="W107" s="119" t="s">
        <v>94</v>
      </c>
      <c r="X107" s="117" cm="1">
        <f t="array" ref="X107">_xll.FDSC("--",$A$1,""&amp;$V107&amp;"("&amp;$W107&amp;","&amp;D$2&amp;",ANNUAL_ROLL,+1,0,,,'CURRENCY="&amp;$E$1&amp;"')")</f>
        <v>1933.7</v>
      </c>
      <c r="Y107" s="117" cm="1">
        <f t="array" ref="Y107">_xll.FDSC("--",$A$1,""&amp;$V107&amp;"("&amp;$W107&amp;","&amp;D$2&amp;",ANNUAL_ROLL,+2,0,,,'CURRENCY="&amp;$E$1&amp;"')")</f>
        <v>1891.4824000000001</v>
      </c>
      <c r="Z107" s="117" cm="1">
        <f t="array" ref="Z107">_xll.FDSC("--",$A$1,""&amp;$V107&amp;"("&amp;$W107&amp;","&amp;D$2&amp;",ANNUAL_ROLL,+3,0,,,'CURRENCY="&amp;$E$1&amp;"')")</f>
        <v>1956.1</v>
      </c>
      <c r="AA107" s="117"/>
      <c r="AB107" s="149"/>
      <c r="AC107" s="149"/>
      <c r="AD107" s="149"/>
      <c r="AE107" s="149"/>
      <c r="AF107" s="149"/>
      <c r="AG107" s="149"/>
      <c r="AH107" s="149"/>
      <c r="AI107" s="149"/>
      <c r="AJ107" s="149"/>
      <c r="AK107" s="149"/>
      <c r="AL107" s="149"/>
    </row>
    <row r="108" spans="1:38" outlineLevel="2" x14ac:dyDescent="0.15">
      <c r="A108" s="78" t="s">
        <v>93</v>
      </c>
      <c r="B108" s="140">
        <f>CHOOSE(IF($B$1=2,2,1),'GAAP-IFRS'!E19,IF('Broker Actual'!E19="-",'GAAP-IFRS'!E19,'Broker Actual'!E19))</f>
        <v>1239.7</v>
      </c>
      <c r="C108" s="140">
        <f>CHOOSE(IF($B$1=2,2,1),'GAAP-IFRS'!F19,IF('Broker Actual'!F19="-",'GAAP-IFRS'!F19,'Broker Actual'!F19))</f>
        <v>1231.3</v>
      </c>
      <c r="D108" s="140">
        <f>CHOOSE(IF($B$1=2,2,1),'GAAP-IFRS'!G19,IF('Broker Actual'!G19="-",'GAAP-IFRS'!G19,'Broker Actual'!G19))</f>
        <v>581.1</v>
      </c>
      <c r="E108" s="140">
        <f>CHOOSE(IF($B$1=2,2,1),'GAAP-IFRS'!H19,IF('Broker Actual'!H19="-",'GAAP-IFRS'!H19,'Broker Actual'!H19))</f>
        <v>1294</v>
      </c>
      <c r="F108" s="140">
        <f>CHOOSE(IF($B$1=2,2,1),'GAAP-IFRS'!I19,IF('Broker Actual'!I19="-",'GAAP-IFRS'!I19,'Broker Actual'!I19))</f>
        <v>1339.8</v>
      </c>
      <c r="G108" s="140">
        <f>CHOOSE(IF($B$1=2,2,1),'GAAP-IFRS'!J19,IF('Broker Actual'!J19="-",'GAAP-IFRS'!J19,'Broker Actual'!J19))</f>
        <v>1415.2</v>
      </c>
      <c r="H108" s="140">
        <f>CHOOSE(IF($B$1=2,2,1),'GAAP-IFRS'!K19,IF('Broker Actual'!K19="-",'GAAP-IFRS'!K19,'Broker Actual'!K19))</f>
        <v>667.3</v>
      </c>
      <c r="I108" s="140">
        <f>CHOOSE(IF($B$1=2,2,1),'GAAP-IFRS'!L19,IF('Broker Actual'!L19="-",'GAAP-IFRS'!L19,'Broker Actual'!L19))</f>
        <v>1428.9</v>
      </c>
      <c r="J108" s="140">
        <f>CHOOSE(IF($B$1=2,2,1),'GAAP-IFRS'!M19,IF('Broker Actual'!M19="-",'GAAP-IFRS'!M19,'Broker Actual'!M19))</f>
        <v>1278</v>
      </c>
      <c r="K108" s="140">
        <f>CHOOSE(IF($B$1=2,2,1),'GAAP-IFRS'!N19,IF('Broker Actual'!N19="-",'GAAP-IFRS'!N19,'Broker Actual'!N19))</f>
        <v>1089.45</v>
      </c>
      <c r="L108" s="140">
        <f>CHOOSE(IF($B$1=2,2,1),'GAAP-IFRS'!O19,IF('Broker Actual'!O19="-",'GAAP-IFRS'!O19,'Broker Actual'!O19))</f>
        <v>1602.2</v>
      </c>
      <c r="M108" s="139">
        <f>M94-M101-M103-M104+M106</f>
        <v>1879.3258696491248</v>
      </c>
      <c r="N108" s="139">
        <f>N94-N101-N103-N104+N106</f>
        <v>2022.2102755670821</v>
      </c>
      <c r="O108" s="139">
        <f>O94-O101-O103-O104+O106</f>
        <v>2146.077879758448</v>
      </c>
      <c r="P108" s="139">
        <f t="shared" ref="P108:Q108" si="210">P94-P101-P103-P104+P106</f>
        <v>2115.2988021431374</v>
      </c>
      <c r="Q108" s="139">
        <f t="shared" si="210"/>
        <v>2171.9713696039144</v>
      </c>
      <c r="R108" s="117"/>
      <c r="S108" s="117"/>
      <c r="T108" s="117"/>
      <c r="U108" s="118"/>
      <c r="V108" s="119"/>
      <c r="W108" s="119"/>
      <c r="X108" s="117"/>
      <c r="Y108" s="117"/>
      <c r="Z108" s="117"/>
      <c r="AA108" s="111"/>
      <c r="AB108" s="149"/>
      <c r="AC108" s="149"/>
      <c r="AD108" s="149"/>
      <c r="AE108" s="149"/>
      <c r="AF108" s="149"/>
      <c r="AG108" s="149"/>
      <c r="AH108" s="149"/>
      <c r="AI108" s="149"/>
      <c r="AJ108" s="149"/>
      <c r="AK108" s="149"/>
      <c r="AL108" s="149"/>
    </row>
    <row r="109" spans="1:38" outlineLevel="2" x14ac:dyDescent="0.15">
      <c r="A109" s="128" t="s">
        <v>74</v>
      </c>
      <c r="B109" s="159"/>
      <c r="C109" s="138">
        <f>C108/B108-1</f>
        <v>-6.7758328627894882E-3</v>
      </c>
      <c r="D109" s="138">
        <f t="shared" ref="D109:L109" si="211">D108/C108-1</f>
        <v>-0.5280597742223665</v>
      </c>
      <c r="E109" s="138">
        <f t="shared" si="211"/>
        <v>1.2268112200998105</v>
      </c>
      <c r="F109" s="138">
        <f t="shared" si="211"/>
        <v>3.5394126738794496E-2</v>
      </c>
      <c r="G109" s="138">
        <f t="shared" si="211"/>
        <v>5.6277056277056259E-2</v>
      </c>
      <c r="H109" s="138">
        <f t="shared" si="211"/>
        <v>-0.52847654041831549</v>
      </c>
      <c r="I109" s="138">
        <f t="shared" si="211"/>
        <v>1.1413157500374647</v>
      </c>
      <c r="J109" s="138">
        <f t="shared" si="211"/>
        <v>-0.10560571068654212</v>
      </c>
      <c r="K109" s="138">
        <f t="shared" si="211"/>
        <v>-0.1475352112676056</v>
      </c>
      <c r="L109" s="138">
        <f t="shared" si="211"/>
        <v>0.47065032814723029</v>
      </c>
      <c r="M109" s="138">
        <f t="shared" ref="M109" si="212">M108/L108-1</f>
        <v>0.1729658405000154</v>
      </c>
      <c r="N109" s="138">
        <f t="shared" ref="N109" si="213">N108/M108-1</f>
        <v>7.6029606267610239E-2</v>
      </c>
      <c r="O109" s="138">
        <f t="shared" ref="O109" si="214">O108/N108-1</f>
        <v>6.1253572730773476E-2</v>
      </c>
      <c r="P109" s="138">
        <f t="shared" ref="P109" si="215">P108/O108-1</f>
        <v>-1.4342013356372196E-2</v>
      </c>
      <c r="Q109" s="138">
        <f t="shared" ref="Q109" si="216">Q108/P108-1</f>
        <v>2.6791755095477932E-2</v>
      </c>
      <c r="R109" s="117"/>
      <c r="S109" s="117"/>
      <c r="T109" s="117"/>
      <c r="U109" s="118"/>
      <c r="V109" s="169"/>
      <c r="W109" s="169"/>
      <c r="X109" s="159"/>
      <c r="Y109" s="159"/>
      <c r="Z109" s="159"/>
      <c r="AA109" s="117"/>
      <c r="AB109" s="149"/>
      <c r="AC109" s="149"/>
      <c r="AD109" s="149"/>
      <c r="AE109" s="149"/>
      <c r="AF109" s="149"/>
      <c r="AG109" s="149"/>
      <c r="AH109" s="149"/>
      <c r="AI109" s="149"/>
      <c r="AJ109" s="149"/>
      <c r="AK109" s="149"/>
      <c r="AL109" s="149"/>
    </row>
    <row r="110" spans="1:38" outlineLevel="2" x14ac:dyDescent="0.15">
      <c r="A110" s="128" t="s">
        <v>95</v>
      </c>
      <c r="B110" s="140">
        <f>CHOOSE(IF($B$1=2,2,1),'GAAP-IFRS'!E21,IF('Broker Actual'!E21="-",'GAAP-IFRS'!E21,'Broker Actual'!E21))</f>
        <v>352.2</v>
      </c>
      <c r="C110" s="140">
        <f>CHOOSE(IF($B$1=2,2,1),'GAAP-IFRS'!F21,IF('Broker Actual'!F21="-",'GAAP-IFRS'!F21,'Broker Actual'!F21))</f>
        <v>355.7</v>
      </c>
      <c r="D110" s="140">
        <f>CHOOSE(IF($B$1=2,2,1),'GAAP-IFRS'!G21,IF('Broker Actual'!G21="-",'GAAP-IFRS'!G21,'Broker Actual'!G21))</f>
        <v>136.30000000000001</v>
      </c>
      <c r="E110" s="140">
        <f>CHOOSE(IF($B$1=2,2,1),'GAAP-IFRS'!H21,IF('Broker Actual'!H21="-",'GAAP-IFRS'!H21,'Broker Actual'!H21))</f>
        <v>393</v>
      </c>
      <c r="F110" s="140">
        <f>CHOOSE(IF($B$1=2,2,1),'GAAP-IFRS'!I21,IF('Broker Actual'!I21="-",'GAAP-IFRS'!I21,'Broker Actual'!I21))</f>
        <v>413.6</v>
      </c>
      <c r="G110" s="140">
        <f>CHOOSE(IF($B$1=2,2,1),'GAAP-IFRS'!J21,IF('Broker Actual'!J21="-",'GAAP-IFRS'!J21,'Broker Actual'!J21))</f>
        <v>436.8</v>
      </c>
      <c r="H110" s="140">
        <f>CHOOSE(IF($B$1=2,2,1),'GAAP-IFRS'!K21,IF('Broker Actual'!K21="-",'GAAP-IFRS'!K21,'Broker Actual'!K21))</f>
        <v>115.4</v>
      </c>
      <c r="I110" s="140">
        <f>CHOOSE(IF($B$1=2,2,1),'GAAP-IFRS'!L21,IF('Broker Actual'!L21="-",'GAAP-IFRS'!L21,'Broker Actual'!L21))</f>
        <v>284.55</v>
      </c>
      <c r="J110" s="140">
        <f>CHOOSE(IF($B$1=2,2,1),'GAAP-IFRS'!M21,IF('Broker Actual'!M21="-",'GAAP-IFRS'!M21,'Broker Actual'!M21))</f>
        <v>233.45</v>
      </c>
      <c r="K110" s="140">
        <f>CHOOSE(IF($B$1=2,2,1),'GAAP-IFRS'!N21,IF('Broker Actual'!N21="-",'GAAP-IFRS'!N21,'Broker Actual'!N21))</f>
        <v>225.9</v>
      </c>
      <c r="L110" s="140">
        <f>CHOOSE(IF($B$1=2,2,1),'GAAP-IFRS'!O21,IF('Broker Actual'!O21="-",'GAAP-IFRS'!O21,'Broker Actual'!O21))</f>
        <v>302</v>
      </c>
      <c r="M110" s="139">
        <f>L110*(1+M111)</f>
        <v>358.9242291848708</v>
      </c>
      <c r="N110" s="139">
        <f t="shared" ref="N110:O110" si="217">M110*(1+N111)</f>
        <v>426.57815329785979</v>
      </c>
      <c r="O110" s="139">
        <f t="shared" si="217"/>
        <v>511.89378395743171</v>
      </c>
      <c r="P110" s="139">
        <f t="shared" ref="P110" si="218">O110*(1+P111)</f>
        <v>614.272540748918</v>
      </c>
      <c r="Q110" s="139">
        <f t="shared" ref="Q110" si="219">P110*(1+Q111)</f>
        <v>737.12704889870156</v>
      </c>
      <c r="R110" s="117"/>
      <c r="S110" s="117"/>
      <c r="T110" s="117"/>
      <c r="U110" s="118"/>
      <c r="V110" s="119" t="s">
        <v>78</v>
      </c>
      <c r="W110" s="119" t="s">
        <v>96</v>
      </c>
      <c r="X110" s="117" cm="1">
        <f t="array" ref="X110">_xll.FDSC("--",$A$1,""&amp;$V110&amp;"("&amp;$W110&amp;","&amp;D$2&amp;",ANNUAL_ROLL,+1,0,,,'CURRENCY="&amp;$E$1&amp;"')")</f>
        <v>411.2</v>
      </c>
      <c r="Y110" s="117" cm="1">
        <f t="array" ref="Y110">_xll.FDSC("--",$A$1,""&amp;$V110&amp;"("&amp;$W110&amp;","&amp;D$2&amp;",ANNUAL_ROLL,+2,0,,,'CURRENCY="&amp;$E$1&amp;"')")</f>
        <v>398.55</v>
      </c>
      <c r="Z110" s="117" cm="1">
        <f t="array" ref="Z110">_xll.FDSC("--",$A$1,""&amp;$V110&amp;"("&amp;$W110&amp;","&amp;D$2&amp;",ANNUAL_ROLL,+3,0,,,'CURRENCY="&amp;$E$1&amp;"')")</f>
        <v>415.35</v>
      </c>
      <c r="AA110" s="117"/>
      <c r="AB110" s="149"/>
      <c r="AC110" s="149"/>
      <c r="AD110" s="149"/>
      <c r="AE110" s="149"/>
      <c r="AF110" s="149"/>
      <c r="AG110" s="149"/>
      <c r="AH110" s="149"/>
      <c r="AI110" s="149"/>
      <c r="AJ110" s="149"/>
      <c r="AK110" s="149"/>
      <c r="AL110" s="149"/>
    </row>
    <row r="111" spans="1:38" outlineLevel="2" x14ac:dyDescent="0.15">
      <c r="A111" s="128" t="s">
        <v>97</v>
      </c>
      <c r="B111" s="138">
        <f>B110/B108</f>
        <v>0.28410099217552631</v>
      </c>
      <c r="C111" s="138">
        <f t="shared" ref="C111:K111" si="220">C110/C108</f>
        <v>0.28888166977990742</v>
      </c>
      <c r="D111" s="138">
        <f t="shared" si="220"/>
        <v>0.23455515401824129</v>
      </c>
      <c r="E111" s="138">
        <f t="shared" si="220"/>
        <v>0.30370942812982998</v>
      </c>
      <c r="F111" s="138">
        <f t="shared" si="220"/>
        <v>0.30870279146141216</v>
      </c>
      <c r="G111" s="138">
        <f t="shared" si="220"/>
        <v>0.30864895421141886</v>
      </c>
      <c r="H111" s="138">
        <f t="shared" si="220"/>
        <v>0.17293571107447928</v>
      </c>
      <c r="I111" s="138">
        <f t="shared" si="220"/>
        <v>0.19913919798446356</v>
      </c>
      <c r="J111" s="138">
        <f t="shared" si="220"/>
        <v>0.18266823161189358</v>
      </c>
      <c r="K111" s="138">
        <f t="shared" si="220"/>
        <v>0.20735233374638579</v>
      </c>
      <c r="L111" s="138">
        <f>L110/L108</f>
        <v>0.18849082511546622</v>
      </c>
      <c r="M111" s="129">
        <f>L111</f>
        <v>0.18849082511546622</v>
      </c>
      <c r="N111" s="129">
        <f>M111</f>
        <v>0.18849082511546622</v>
      </c>
      <c r="O111" s="129">
        <v>0.2</v>
      </c>
      <c r="P111" s="129">
        <v>0.2</v>
      </c>
      <c r="Q111" s="129">
        <v>0.2</v>
      </c>
      <c r="R111" s="117"/>
      <c r="S111" s="117"/>
      <c r="T111" s="117"/>
      <c r="U111" s="118"/>
      <c r="V111" s="119"/>
      <c r="W111" s="119"/>
      <c r="X111" s="117"/>
      <c r="Y111" s="117"/>
      <c r="Z111" s="117"/>
      <c r="AA111" s="117"/>
      <c r="AB111" s="149"/>
      <c r="AC111" s="149"/>
      <c r="AD111" s="149"/>
      <c r="AE111" s="149"/>
      <c r="AF111" s="149"/>
      <c r="AG111" s="149"/>
      <c r="AH111" s="149"/>
      <c r="AI111" s="149"/>
      <c r="AJ111" s="149"/>
      <c r="AK111" s="149"/>
      <c r="AL111" s="149"/>
    </row>
    <row r="112" spans="1:38" outlineLevel="2" x14ac:dyDescent="0.15">
      <c r="A112" s="128"/>
      <c r="B112" s="163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P112" s="117"/>
      <c r="Q112" s="117"/>
      <c r="R112" s="117"/>
      <c r="S112" s="117"/>
      <c r="T112" s="117"/>
      <c r="U112" s="118"/>
      <c r="V112" s="119"/>
      <c r="W112" s="119"/>
      <c r="X112" s="117"/>
      <c r="Y112" s="117"/>
      <c r="Z112" s="117"/>
      <c r="AA112" s="117"/>
      <c r="AB112" s="149"/>
      <c r="AC112" s="149"/>
      <c r="AD112" s="149"/>
      <c r="AE112" s="149"/>
      <c r="AF112" s="149"/>
      <c r="AG112" s="149"/>
      <c r="AH112" s="149"/>
      <c r="AI112" s="149"/>
      <c r="AJ112" s="149"/>
      <c r="AK112" s="149"/>
      <c r="AL112" s="149"/>
    </row>
    <row r="113" spans="1:38" outlineLevel="2" x14ac:dyDescent="0.15">
      <c r="A113" s="78" t="s">
        <v>98</v>
      </c>
      <c r="B113" s="142">
        <f t="shared" ref="B113:L113" si="221">B115-(B108-B110)</f>
        <v>6.8999999999999773</v>
      </c>
      <c r="C113" s="142">
        <f t="shared" si="221"/>
        <v>-17.499999999999886</v>
      </c>
      <c r="D113" s="142">
        <f t="shared" si="221"/>
        <v>-31.400000000000034</v>
      </c>
      <c r="E113" s="142">
        <f t="shared" si="221"/>
        <v>-33.899999999999977</v>
      </c>
      <c r="F113" s="142">
        <f t="shared" si="221"/>
        <v>5.2000000000000455</v>
      </c>
      <c r="G113" s="142">
        <f t="shared" si="221"/>
        <v>15.799999999999955</v>
      </c>
      <c r="H113" s="142">
        <f t="shared" si="221"/>
        <v>-28.5</v>
      </c>
      <c r="I113" s="142">
        <f t="shared" si="221"/>
        <v>-44.050000000000182</v>
      </c>
      <c r="J113" s="142">
        <f t="shared" si="221"/>
        <v>-39.149999999999977</v>
      </c>
      <c r="K113" s="142">
        <f t="shared" si="221"/>
        <v>27.149999999999977</v>
      </c>
      <c r="L113" s="142">
        <f t="shared" si="221"/>
        <v>-45.900000000000091</v>
      </c>
      <c r="M113" s="157"/>
      <c r="N113" s="157"/>
      <c r="O113" s="157"/>
      <c r="P113" s="117"/>
      <c r="Q113" s="117"/>
      <c r="R113" s="117"/>
      <c r="S113" s="117"/>
      <c r="T113" s="117"/>
      <c r="U113" s="118"/>
      <c r="V113" s="119"/>
      <c r="W113" s="119"/>
      <c r="X113" s="117"/>
      <c r="Y113" s="117"/>
      <c r="Z113" s="117"/>
      <c r="AA113" s="117"/>
      <c r="AB113" s="149"/>
      <c r="AC113" s="149"/>
      <c r="AD113" s="149"/>
      <c r="AE113" s="149"/>
      <c r="AF113" s="149"/>
      <c r="AG113" s="149"/>
      <c r="AH113" s="149"/>
      <c r="AI113" s="149"/>
      <c r="AJ113" s="149"/>
      <c r="AK113" s="149"/>
      <c r="AL113" s="149"/>
    </row>
    <row r="114" spans="1:38" outlineLevel="2" x14ac:dyDescent="0.15">
      <c r="A114" s="128"/>
      <c r="B114" s="163"/>
      <c r="C114" s="142"/>
      <c r="D114" s="142"/>
      <c r="E114" s="142"/>
      <c r="F114" s="142"/>
      <c r="G114" s="142"/>
      <c r="H114" s="142"/>
      <c r="I114" s="142"/>
      <c r="J114" s="142"/>
      <c r="K114" s="142"/>
      <c r="L114" s="142"/>
      <c r="P114" s="117"/>
      <c r="Q114" s="117"/>
      <c r="R114" s="117"/>
      <c r="S114" s="117"/>
      <c r="T114" s="117"/>
      <c r="U114" s="118"/>
      <c r="V114" s="119"/>
      <c r="W114" s="119"/>
      <c r="X114" s="117"/>
      <c r="Y114" s="117"/>
      <c r="Z114" s="117"/>
      <c r="AA114" s="159"/>
      <c r="AB114" s="149"/>
      <c r="AC114" s="149"/>
      <c r="AD114" s="149"/>
      <c r="AE114" s="149"/>
      <c r="AF114" s="149"/>
      <c r="AG114" s="149"/>
      <c r="AH114" s="149"/>
      <c r="AI114" s="149"/>
      <c r="AJ114" s="149"/>
      <c r="AK114" s="149"/>
      <c r="AL114" s="149"/>
    </row>
    <row r="115" spans="1:38" outlineLevel="2" x14ac:dyDescent="0.15">
      <c r="A115" s="108" t="s">
        <v>99</v>
      </c>
      <c r="B115" s="164">
        <f>CHOOSE(IF($B$1=2,2,1),'GAAP-IFRS'!E22,IF('Broker Actual'!E22="-",'GAAP-IFRS'!E22,'Broker Actual'!E22))</f>
        <v>894.4</v>
      </c>
      <c r="C115" s="164">
        <f>CHOOSE(IF($B$1=2,2,1),'GAAP-IFRS'!F22,IF('Broker Actual'!F22="-",'GAAP-IFRS'!F22,'Broker Actual'!F22))</f>
        <v>858.1</v>
      </c>
      <c r="D115" s="164">
        <f>CHOOSE(IF($B$1=2,2,1),'GAAP-IFRS'!G22,IF('Broker Actual'!G22="-",'GAAP-IFRS'!G22,'Broker Actual'!G22))</f>
        <v>413.4</v>
      </c>
      <c r="E115" s="164">
        <f>CHOOSE(IF($B$1=2,2,1),'GAAP-IFRS'!H22,IF('Broker Actual'!H22="-",'GAAP-IFRS'!H22,'Broker Actual'!H22))</f>
        <v>867.1</v>
      </c>
      <c r="F115" s="164">
        <f>CHOOSE(IF($B$1=2,2,1),'GAAP-IFRS'!I22,IF('Broker Actual'!I22="-",'GAAP-IFRS'!I22,'Broker Actual'!I22))</f>
        <v>931.4</v>
      </c>
      <c r="G115" s="164">
        <f>CHOOSE(IF($B$1=2,2,1),'GAAP-IFRS'!J22,IF('Broker Actual'!J22="-",'GAAP-IFRS'!J22,'Broker Actual'!J22))</f>
        <v>994.2</v>
      </c>
      <c r="H115" s="164">
        <f>CHOOSE(IF($B$1=2,2,1),'GAAP-IFRS'!K22,IF('Broker Actual'!K22="-",'GAAP-IFRS'!K22,'Broker Actual'!K22))</f>
        <v>523.4</v>
      </c>
      <c r="I115" s="164">
        <f>CHOOSE(IF($B$1=2,2,1),'GAAP-IFRS'!L22,IF('Broker Actual'!L22="-",'GAAP-IFRS'!L22,'Broker Actual'!L22))</f>
        <v>1100.3</v>
      </c>
      <c r="J115" s="164">
        <f>CHOOSE(IF($B$1=2,2,1),'GAAP-IFRS'!M22,IF('Broker Actual'!M22="-",'GAAP-IFRS'!M22,'Broker Actual'!M22))</f>
        <v>1005.4</v>
      </c>
      <c r="K115" s="164">
        <f>CHOOSE(IF($B$1=2,2,1),'GAAP-IFRS'!N22,IF('Broker Actual'!N22="-",'GAAP-IFRS'!N22,'Broker Actual'!N22))</f>
        <v>890.7</v>
      </c>
      <c r="L115" s="164">
        <f>CHOOSE(IF($B$1=2,2,1),'GAAP-IFRS'!O22,IF('Broker Actual'!O22="-",'GAAP-IFRS'!O22,'Broker Actual'!O22))</f>
        <v>1254.3</v>
      </c>
      <c r="M115" s="226">
        <f>M108-M110+M113</f>
        <v>1520.4016404642539</v>
      </c>
      <c r="N115" s="226">
        <f>N108-N110+N113</f>
        <v>1595.6321222692222</v>
      </c>
      <c r="O115" s="226">
        <f t="shared" ref="O115:Q115" si="222">O108-O110+O113</f>
        <v>1634.1840958010164</v>
      </c>
      <c r="P115" s="226">
        <f t="shared" si="222"/>
        <v>1501.0262613942195</v>
      </c>
      <c r="Q115" s="226">
        <f t="shared" si="222"/>
        <v>1434.8443207052128</v>
      </c>
      <c r="R115" s="117"/>
      <c r="S115" s="117"/>
      <c r="T115" s="117"/>
      <c r="U115" s="118"/>
      <c r="V115" s="147" t="s">
        <v>78</v>
      </c>
      <c r="W115" s="147" t="s">
        <v>100</v>
      </c>
      <c r="X115" s="145" cm="1">
        <f t="array" ref="X115">_xll.FDSC("--",$A$1,""&amp;$V115&amp;"("&amp;$W115&amp;","&amp;D$2&amp;",ANNUAL_ROLL,+1,0,,,'CURRENCY="&amp;$E$1&amp;"')")</f>
        <v>1516</v>
      </c>
      <c r="Y115" s="145" t="e" cm="1">
        <f t="array" ref="Y115">_xll.FDSC("--",$A$1,""&amp;$V115&amp;"("&amp;$W115&amp;","&amp;E$2&amp;",ANNUAL_ROLL,+1,0,,,'CURRENCY="&amp;$E$1&amp;"')")</f>
        <v>#NUM!</v>
      </c>
      <c r="Z115" s="145" cm="1">
        <f t="array" ref="Z115">_xll.FDSC("--",$A$1,""&amp;$V115&amp;"("&amp;$W115&amp;","&amp;D$2&amp;",ANNUAL_ROLL,+3,0,,,'CURRENCY="&amp;$E$1&amp;"')")</f>
        <v>1539.3</v>
      </c>
      <c r="AA115" s="117"/>
      <c r="AB115" s="117"/>
      <c r="AC115" s="120"/>
    </row>
    <row r="116" spans="1:38" outlineLevel="2" x14ac:dyDescent="0.15">
      <c r="A116" s="128" t="s">
        <v>74</v>
      </c>
      <c r="B116" s="159"/>
      <c r="C116" s="138">
        <f>C115/B115-1</f>
        <v>-4.0585867620751337E-2</v>
      </c>
      <c r="D116" s="138">
        <f t="shared" ref="D116:L116" si="223">D115/C115-1</f>
        <v>-0.51823796760284346</v>
      </c>
      <c r="E116" s="138">
        <f t="shared" si="223"/>
        <v>1.0974842767295598</v>
      </c>
      <c r="F116" s="138">
        <f t="shared" si="223"/>
        <v>7.4155230077268985E-2</v>
      </c>
      <c r="G116" s="138">
        <f t="shared" si="223"/>
        <v>6.7425381146660968E-2</v>
      </c>
      <c r="H116" s="138">
        <f t="shared" si="223"/>
        <v>-0.47354657010661838</v>
      </c>
      <c r="I116" s="138">
        <f t="shared" si="223"/>
        <v>1.1022162781811233</v>
      </c>
      <c r="J116" s="138">
        <f t="shared" si="223"/>
        <v>-8.624920476233755E-2</v>
      </c>
      <c r="K116" s="138">
        <f t="shared" si="223"/>
        <v>-0.11408394668788535</v>
      </c>
      <c r="L116" s="138">
        <f t="shared" si="223"/>
        <v>0.40821825530481637</v>
      </c>
      <c r="M116" s="138">
        <f t="shared" ref="M116" si="224">M115/L115-1</f>
        <v>0.21215151117296815</v>
      </c>
      <c r="N116" s="138">
        <f t="shared" ref="N116" si="225">N115/M115-1</f>
        <v>4.9480663400229385E-2</v>
      </c>
      <c r="O116" s="138">
        <f t="shared" ref="O116" si="226">O115/N115-1</f>
        <v>2.4160940979909284E-2</v>
      </c>
      <c r="P116" s="138">
        <f t="shared" ref="P116" si="227">P115/O115-1</f>
        <v>-8.1482762406598908E-2</v>
      </c>
      <c r="Q116" s="138">
        <f t="shared" ref="Q116" si="228">Q115/P115-1</f>
        <v>-4.4091127777827199E-2</v>
      </c>
      <c r="R116" s="117"/>
      <c r="S116" s="117"/>
      <c r="T116" s="117"/>
      <c r="U116" s="118"/>
      <c r="V116" s="169"/>
      <c r="W116" s="169"/>
      <c r="X116" s="159"/>
      <c r="Y116" s="159"/>
      <c r="Z116" s="159"/>
      <c r="AA116" s="117"/>
      <c r="AB116" s="117"/>
      <c r="AC116" s="120"/>
    </row>
    <row r="117" spans="1:38" outlineLevel="2" x14ac:dyDescent="0.15">
      <c r="A117" s="108"/>
      <c r="B117" s="145"/>
      <c r="C117" s="145"/>
      <c r="D117" s="145"/>
      <c r="E117" s="145"/>
      <c r="F117" s="145"/>
      <c r="G117" s="145"/>
      <c r="H117" s="145"/>
      <c r="I117" s="145"/>
      <c r="J117" s="145"/>
      <c r="K117" s="145"/>
      <c r="L117" s="145"/>
      <c r="M117" s="139"/>
      <c r="N117" s="139"/>
      <c r="O117" s="139"/>
      <c r="P117" s="117"/>
      <c r="Q117" s="117"/>
      <c r="R117" s="117"/>
      <c r="S117" s="117"/>
      <c r="T117" s="117"/>
      <c r="U117" s="118"/>
      <c r="V117" s="147"/>
      <c r="W117" s="147"/>
      <c r="X117" s="145"/>
      <c r="Y117" s="145"/>
      <c r="Z117" s="145"/>
      <c r="AA117" s="117"/>
      <c r="AB117" s="117"/>
      <c r="AC117" s="120"/>
    </row>
    <row r="118" spans="1:38" outlineLevel="2" x14ac:dyDescent="0.15">
      <c r="A118" s="78" t="s">
        <v>101</v>
      </c>
      <c r="B118" s="114"/>
      <c r="C118" s="165"/>
      <c r="D118" s="165"/>
      <c r="E118" s="145"/>
      <c r="F118" s="145"/>
      <c r="G118" s="145"/>
      <c r="H118" s="145"/>
      <c r="I118" s="145"/>
      <c r="J118" s="145"/>
      <c r="K118" s="145"/>
      <c r="L118" s="145"/>
      <c r="M118" s="261">
        <v>5.5</v>
      </c>
      <c r="N118" s="261">
        <v>5.5</v>
      </c>
      <c r="O118" s="261">
        <v>5.5</v>
      </c>
      <c r="P118" s="261">
        <v>5.5</v>
      </c>
      <c r="Q118" s="261">
        <v>5.5</v>
      </c>
      <c r="R118" s="117"/>
      <c r="S118" s="117"/>
      <c r="T118" s="117"/>
      <c r="U118" s="118"/>
      <c r="V118" s="147"/>
      <c r="W118" s="147"/>
      <c r="X118" s="145"/>
      <c r="Y118" s="145"/>
      <c r="Z118" s="145"/>
      <c r="AA118" s="117"/>
      <c r="AB118" s="117"/>
      <c r="AC118" s="120"/>
    </row>
    <row r="119" spans="1:38" outlineLevel="2" x14ac:dyDescent="0.15">
      <c r="A119" s="94" t="s">
        <v>102</v>
      </c>
      <c r="B119" s="166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39">
        <f>M124*M118</f>
        <v>42.839185566359617</v>
      </c>
      <c r="N119" s="139">
        <f t="shared" ref="N119:Q119" si="229">N124*N118</f>
        <v>47.82548595357342</v>
      </c>
      <c r="O119" s="139">
        <f t="shared" si="229"/>
        <v>52.40823630848741</v>
      </c>
      <c r="P119" s="139">
        <f t="shared" si="229"/>
        <v>50.339295351635414</v>
      </c>
      <c r="Q119" s="139">
        <f t="shared" si="229"/>
        <v>49.016420893656338</v>
      </c>
      <c r="R119" s="117"/>
      <c r="S119" s="117"/>
      <c r="T119" s="117"/>
      <c r="U119" s="118"/>
      <c r="V119" s="179"/>
      <c r="W119" s="179"/>
      <c r="X119" s="167"/>
      <c r="Y119" s="167"/>
      <c r="Z119" s="167"/>
      <c r="AA119" s="117"/>
      <c r="AB119" s="117"/>
      <c r="AC119" s="120"/>
    </row>
    <row r="120" spans="1:38" outlineLevel="2" x14ac:dyDescent="0.15">
      <c r="A120" s="78" t="s">
        <v>103</v>
      </c>
      <c r="B120" s="145"/>
      <c r="C120" s="145"/>
      <c r="D120" s="145"/>
      <c r="E120" s="145"/>
      <c r="F120" s="145"/>
      <c r="G120" s="145"/>
      <c r="H120" s="145"/>
      <c r="I120" s="145"/>
      <c r="J120" s="145"/>
      <c r="K120" s="145"/>
      <c r="L120" s="145"/>
      <c r="M120" s="261">
        <f>-M296/M119</f>
        <v>8.8936111475584294</v>
      </c>
      <c r="N120" s="261">
        <f>-N296/N119</f>
        <v>12.258384596176032</v>
      </c>
      <c r="O120" s="261">
        <f>-O296/O119</f>
        <v>12.388780905963737</v>
      </c>
      <c r="P120" s="261">
        <f>-P296/P119</f>
        <v>7.5203587084106589</v>
      </c>
      <c r="Q120" s="261">
        <f>-Q296/Q119</f>
        <v>2.871799847615863</v>
      </c>
      <c r="R120" s="117"/>
      <c r="S120" s="117"/>
      <c r="T120" s="117"/>
      <c r="U120" s="118"/>
      <c r="V120" s="147"/>
      <c r="W120" s="147"/>
      <c r="X120" s="145"/>
      <c r="Y120" s="145"/>
      <c r="Z120" s="145"/>
      <c r="AA120" s="145"/>
      <c r="AB120" s="117"/>
      <c r="AC120" s="120"/>
    </row>
    <row r="121" spans="1:38" outlineLevel="2" x14ac:dyDescent="0.15">
      <c r="A121" s="94" t="s">
        <v>104</v>
      </c>
      <c r="B121" s="167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78">
        <f>L122-M120</f>
        <v>193.21578885244156</v>
      </c>
      <c r="N121" s="178">
        <f>M122-N120</f>
        <v>182.94161540382396</v>
      </c>
      <c r="O121" s="178">
        <f t="shared" ref="O121" si="230">N122-O120</f>
        <v>171.11121909403627</v>
      </c>
      <c r="P121" s="178">
        <f t="shared" ref="P121" si="231">O122-P120</f>
        <v>163.97964129158933</v>
      </c>
      <c r="Q121" s="178">
        <f t="shared" ref="Q121" si="232">P122-Q120</f>
        <v>161.12820015238412</v>
      </c>
      <c r="R121" s="117"/>
      <c r="S121" s="117"/>
      <c r="T121" s="117"/>
      <c r="U121" s="118"/>
      <c r="V121" s="179"/>
      <c r="W121" s="179"/>
      <c r="X121" s="167"/>
      <c r="Y121" s="167"/>
      <c r="Z121" s="167"/>
      <c r="AA121" s="159"/>
      <c r="AB121" s="117"/>
      <c r="AC121" s="120"/>
    </row>
    <row r="122" spans="1:38" outlineLevel="2" x14ac:dyDescent="0.15">
      <c r="A122" s="172" t="s">
        <v>105</v>
      </c>
      <c r="B122" s="173">
        <f>CHOOSE(IF($B$1=2,2,1),'GAAP-IFRS'!E24,IF('Broker Actual'!E24="-",'GAAP-IFRS'!E24,'Broker Actual'!E24))</f>
        <v>281.7568</v>
      </c>
      <c r="C122" s="173">
        <f>CHOOSE(IF($B$1=2,2,1),'GAAP-IFRS'!F24,IF('Broker Actual'!F24="-",'GAAP-IFRS'!F24,'Broker Actual'!F24))</f>
        <v>265.94920000000002</v>
      </c>
      <c r="D122" s="173">
        <f>CHOOSE(IF($B$1=2,2,1),'GAAP-IFRS'!G24,IF('Broker Actual'!G24="-",'GAAP-IFRS'!G24,'Broker Actual'!G24))</f>
        <v>256.65280000000001</v>
      </c>
      <c r="E122" s="173">
        <f>CHOOSE(IF($B$1=2,2,1),'GAAP-IFRS'!H24,IF('Broker Actual'!H24="-",'GAAP-IFRS'!H24,'Broker Actual'!H24))</f>
        <v>247.85470000000001</v>
      </c>
      <c r="F122" s="173">
        <f>CHOOSE(IF($B$1=2,2,1),'GAAP-IFRS'!I24,IF('Broker Actual'!I24="-",'GAAP-IFRS'!I24,'Broker Actual'!I24))</f>
        <v>235.97919999999999</v>
      </c>
      <c r="G122" s="173">
        <f>CHOOSE(IF($B$1=2,2,1),'GAAP-IFRS'!J24,IF('Broker Actual'!J24="-",'GAAP-IFRS'!J24,'Broker Actual'!J24))</f>
        <v>227.33519999999999</v>
      </c>
      <c r="H122" s="173">
        <f>CHOOSE(IF($B$1=2,2,1),'GAAP-IFRS'!K24,IF('Broker Actual'!K24="-",'GAAP-IFRS'!K24,'Broker Actual'!K24))</f>
        <v>220.05860000000001</v>
      </c>
      <c r="I122" s="173">
        <f>CHOOSE(IF($B$1=2,2,1),'GAAP-IFRS'!L24,IF('Broker Actual'!L24="-",'GAAP-IFRS'!L24,'Broker Actual'!L24))</f>
        <v>209.8544</v>
      </c>
      <c r="J122" s="173">
        <f>CHOOSE(IF($B$1=2,2,1),'GAAP-IFRS'!M24,IF('Broker Actual'!M24="-",'GAAP-IFRS'!M24,'Broker Actual'!M24))</f>
        <v>203.75530000000001</v>
      </c>
      <c r="K122" s="173">
        <f>CHOOSE(IF($B$1=2,2,1),'GAAP-IFRS'!N24,IF('Broker Actual'!N24="-",'GAAP-IFRS'!N24,'Broker Actual'!N24))</f>
        <v>204.84790000000001</v>
      </c>
      <c r="L122" s="173">
        <f>CHOOSE(IF($B$1=2,2,1),'GAAP-IFRS'!O24,IF('Broker Actual'!O24="-",'GAAP-IFRS'!O24,'Broker Actual'!O24))</f>
        <v>202.10939999999999</v>
      </c>
      <c r="M122" s="261">
        <v>195.2</v>
      </c>
      <c r="N122" s="261">
        <v>183.5</v>
      </c>
      <c r="O122" s="261">
        <v>171.5</v>
      </c>
      <c r="P122" s="261">
        <v>164</v>
      </c>
      <c r="Q122" s="261">
        <v>161</v>
      </c>
      <c r="R122" s="117"/>
      <c r="S122" s="117"/>
      <c r="T122" s="117"/>
      <c r="U122" s="118"/>
      <c r="V122" s="180"/>
      <c r="W122" s="180"/>
      <c r="X122" s="175"/>
      <c r="Y122" s="175"/>
      <c r="Z122" s="175"/>
      <c r="AA122" s="145"/>
      <c r="AB122" s="117"/>
      <c r="AC122" s="120"/>
    </row>
    <row r="123" spans="1:38" outlineLevel="2" x14ac:dyDescent="0.15">
      <c r="A123" s="174" t="s">
        <v>74</v>
      </c>
      <c r="B123" s="175"/>
      <c r="C123" s="138">
        <f>C122/B122-1</f>
        <v>-5.6103703619575396E-2</v>
      </c>
      <c r="D123" s="138">
        <f t="shared" ref="D123:L123" si="233">D122/C122-1</f>
        <v>-3.4955547901629358E-2</v>
      </c>
      <c r="E123" s="138">
        <f t="shared" si="233"/>
        <v>-3.428016370754583E-2</v>
      </c>
      <c r="F123" s="138">
        <f t="shared" si="233"/>
        <v>-4.7913152342884846E-2</v>
      </c>
      <c r="G123" s="138">
        <f t="shared" si="233"/>
        <v>-3.6630347081437753E-2</v>
      </c>
      <c r="H123" s="138">
        <f t="shared" si="233"/>
        <v>-3.200824157455584E-2</v>
      </c>
      <c r="I123" s="138">
        <f t="shared" si="233"/>
        <v>-4.637037589078552E-2</v>
      </c>
      <c r="J123" s="138">
        <f t="shared" si="233"/>
        <v>-2.9063484015584118E-2</v>
      </c>
      <c r="K123" s="138">
        <f t="shared" si="233"/>
        <v>5.3623145017578366E-3</v>
      </c>
      <c r="L123" s="138">
        <f t="shared" si="233"/>
        <v>-1.3368455327098849E-2</v>
      </c>
      <c r="M123" s="138">
        <f t="shared" ref="M123" si="234">M122/L122-1</f>
        <v>-3.4186435663061676E-2</v>
      </c>
      <c r="N123" s="138">
        <f t="shared" ref="N123" si="235">N122/M122-1</f>
        <v>-5.9938524590163911E-2</v>
      </c>
      <c r="O123" s="138">
        <f t="shared" ref="O123" si="236">O122/N122-1</f>
        <v>-6.5395095367847378E-2</v>
      </c>
      <c r="P123" s="138">
        <f t="shared" ref="P123" si="237">P122/O122-1</f>
        <v>-4.3731778425656009E-2</v>
      </c>
      <c r="Q123" s="138">
        <f t="shared" ref="Q123" si="238">Q122/P122-1</f>
        <v>-1.8292682926829285E-2</v>
      </c>
      <c r="R123" s="111"/>
      <c r="S123" s="111"/>
      <c r="T123" s="111"/>
      <c r="V123" s="180"/>
      <c r="W123" s="180"/>
      <c r="X123" s="175"/>
      <c r="Y123" s="175"/>
      <c r="Z123" s="175"/>
      <c r="AA123" s="145"/>
    </row>
    <row r="124" spans="1:38" outlineLevel="2" collapsed="1" x14ac:dyDescent="0.15">
      <c r="A124" s="176" t="s">
        <v>106</v>
      </c>
      <c r="B124" s="177">
        <f>CHOOSE(IF($B$1=2,2,1),'GAAP-IFRS'!E25,IF('Broker Actual'!E25="-",'GAAP-IFRS'!E25,'Broker Actual'!E25))</f>
        <v>3.15</v>
      </c>
      <c r="C124" s="177">
        <f>CHOOSE(IF($B$1=2,2,1),'GAAP-IFRS'!F25,IF('Broker Actual'!F25="-",'GAAP-IFRS'!F25,'Broker Actual'!F25))</f>
        <v>3.32</v>
      </c>
      <c r="D124" s="177">
        <f>CHOOSE(IF($B$1=2,2,1),'GAAP-IFRS'!G25,IF('Broker Actual'!G25="-",'GAAP-IFRS'!G25,'Broker Actual'!G25))</f>
        <v>3.55</v>
      </c>
      <c r="E124" s="177">
        <f>CHOOSE(IF($B$1=2,2,1),'GAAP-IFRS'!H25,IF('Broker Actual'!H25="-",'GAAP-IFRS'!H25,'Broker Actual'!H25))</f>
        <v>3.64</v>
      </c>
      <c r="F124" s="177">
        <f>CHOOSE(IF($B$1=2,2,1),'GAAP-IFRS'!I25,IF('Broker Actual'!I25="-",'GAAP-IFRS'!I25,'Broker Actual'!I25))</f>
        <v>3.92</v>
      </c>
      <c r="G124" s="177">
        <f>CHOOSE(IF($B$1=2,2,1),'GAAP-IFRS'!J25,IF('Broker Actual'!J25="-",'GAAP-IFRS'!J25,'Broker Actual'!J25))</f>
        <v>4.29</v>
      </c>
      <c r="H124" s="177">
        <f>CHOOSE(IF($B$1=2,2,1),'GAAP-IFRS'!K25,IF('Broker Actual'!K25="-",'GAAP-IFRS'!K25,'Broker Actual'!K25))</f>
        <v>5.2</v>
      </c>
      <c r="I124" s="177">
        <f>CHOOSE(IF($B$1=2,2,1),'GAAP-IFRS'!L25,IF('Broker Actual'!L25="-",'GAAP-IFRS'!L25,'Broker Actual'!L25))</f>
        <v>5.44</v>
      </c>
      <c r="J124" s="177">
        <f>CHOOSE(IF($B$1=2,2,1),'GAAP-IFRS'!M25,IF('Broker Actual'!M25="-",'GAAP-IFRS'!M25,'Broker Actual'!M25))</f>
        <v>4.93</v>
      </c>
      <c r="K124" s="177">
        <f>CHOOSE(IF($B$1=2,2,1),'GAAP-IFRS'!N25,IF('Broker Actual'!N25="-",'GAAP-IFRS'!N25,'Broker Actual'!N25))</f>
        <v>4.3499999999999996</v>
      </c>
      <c r="L124" s="177">
        <f>CHOOSE(IF($B$1=2,2,1),'GAAP-IFRS'!O25,IF('Broker Actual'!O25="-",'GAAP-IFRS'!O25,'Broker Actual'!O25))</f>
        <v>6.21</v>
      </c>
      <c r="M124" s="228">
        <f>M115/M122</f>
        <v>7.788942830247203</v>
      </c>
      <c r="N124" s="228">
        <f>N115/N122</f>
        <v>8.6955429006497127</v>
      </c>
      <c r="O124" s="228">
        <f t="shared" ref="O124:Q124" si="239">O115/O122</f>
        <v>9.5287702379068016</v>
      </c>
      <c r="P124" s="228">
        <f t="shared" si="239"/>
        <v>9.1525991548428021</v>
      </c>
      <c r="Q124" s="228">
        <f t="shared" si="239"/>
        <v>8.9120765261193338</v>
      </c>
      <c r="R124" s="117"/>
      <c r="S124" s="117"/>
      <c r="T124" s="117"/>
      <c r="U124" s="118"/>
      <c r="V124" s="180"/>
      <c r="W124" s="180"/>
      <c r="X124" s="175"/>
      <c r="Y124" s="175"/>
      <c r="Z124" s="175"/>
      <c r="AA124" s="167"/>
      <c r="AB124" s="117"/>
      <c r="AC124" s="120"/>
    </row>
    <row r="125" spans="1:38" outlineLevel="1" x14ac:dyDescent="0.15">
      <c r="A125" s="128" t="s">
        <v>74</v>
      </c>
      <c r="B125" s="159"/>
      <c r="C125" s="138">
        <f>C124/B124-1</f>
        <v>5.3968253968253999E-2</v>
      </c>
      <c r="D125" s="138">
        <f t="shared" ref="D125:L125" si="240">D124/C124-1</f>
        <v>6.9277108433734913E-2</v>
      </c>
      <c r="E125" s="138">
        <f t="shared" si="240"/>
        <v>2.5352112676056526E-2</v>
      </c>
      <c r="F125" s="138">
        <f t="shared" si="240"/>
        <v>7.6923076923076872E-2</v>
      </c>
      <c r="G125" s="138">
        <f t="shared" si="240"/>
        <v>9.4387755102040893E-2</v>
      </c>
      <c r="H125" s="138">
        <f t="shared" si="240"/>
        <v>0.21212121212121215</v>
      </c>
      <c r="I125" s="138">
        <f t="shared" si="240"/>
        <v>4.6153846153846212E-2</v>
      </c>
      <c r="J125" s="138">
        <f t="shared" si="240"/>
        <v>-9.3750000000000111E-2</v>
      </c>
      <c r="K125" s="138">
        <f t="shared" si="240"/>
        <v>-0.11764705882352944</v>
      </c>
      <c r="L125" s="138">
        <f t="shared" si="240"/>
        <v>0.42758620689655191</v>
      </c>
      <c r="M125" s="138">
        <f t="shared" ref="M125" si="241">M124/L124-1</f>
        <v>0.25425810470969457</v>
      </c>
      <c r="N125" s="138">
        <f t="shared" ref="N125" si="242">N124/M124-1</f>
        <v>0.11639577926825484</v>
      </c>
      <c r="O125" s="138">
        <f t="shared" ref="O125" si="243">O124/N124-1</f>
        <v>9.5822347928940843E-2</v>
      </c>
      <c r="P125" s="138">
        <f t="shared" ref="P125" si="244">P124/O124-1</f>
        <v>-3.9477400931290929E-2</v>
      </c>
      <c r="Q125" s="138">
        <f t="shared" ref="Q125" si="245">Q124/P124-1</f>
        <v>-2.6279161214681102E-2</v>
      </c>
      <c r="R125" s="111"/>
      <c r="S125" s="111"/>
      <c r="T125" s="111"/>
      <c r="V125" s="169"/>
      <c r="W125" s="169"/>
      <c r="X125" s="159"/>
      <c r="Y125" s="159"/>
      <c r="Z125" s="159"/>
      <c r="AA125" s="145"/>
    </row>
    <row r="126" spans="1:38" outlineLevel="1" x14ac:dyDescent="0.15">
      <c r="A126" s="128"/>
      <c r="B126" s="159"/>
      <c r="C126" s="138"/>
      <c r="D126" s="138"/>
      <c r="E126" s="138"/>
      <c r="F126" s="138"/>
      <c r="G126" s="138"/>
      <c r="H126" s="138"/>
      <c r="I126" s="138"/>
      <c r="J126" s="138"/>
      <c r="K126" s="138"/>
      <c r="L126" s="138"/>
      <c r="N126" s="139"/>
      <c r="P126" s="117"/>
      <c r="Q126" s="117"/>
      <c r="R126" s="117"/>
      <c r="S126" s="117"/>
      <c r="T126" s="117"/>
      <c r="U126" s="118"/>
      <c r="V126" s="169"/>
      <c r="W126" s="169"/>
      <c r="X126" s="159"/>
      <c r="Y126" s="159"/>
      <c r="Z126" s="159"/>
      <c r="AA126" s="167"/>
      <c r="AB126" s="117"/>
      <c r="AC126" s="120"/>
    </row>
    <row r="127" spans="1:38" outlineLevel="1" x14ac:dyDescent="0.15">
      <c r="A127" s="128"/>
      <c r="B127" s="159"/>
      <c r="C127" s="138"/>
      <c r="D127" s="138"/>
      <c r="E127" s="138"/>
      <c r="F127" s="138"/>
      <c r="G127" s="138"/>
      <c r="H127" s="138"/>
      <c r="I127" s="138"/>
      <c r="J127" s="138"/>
      <c r="K127" s="138"/>
      <c r="L127" s="152" t="s">
        <v>588</v>
      </c>
      <c r="M127" s="227">
        <f ca="1">(M124*M4)+(N4*N124)</f>
        <v>8.6980267364590347</v>
      </c>
      <c r="N127" s="227">
        <f ca="1">(N124*M4)+(O124*N4)</f>
        <v>9.5310530525294244</v>
      </c>
      <c r="P127" s="117"/>
      <c r="Q127" s="117"/>
      <c r="R127" s="117"/>
      <c r="S127" s="117"/>
      <c r="T127" s="117"/>
      <c r="U127" s="118"/>
      <c r="V127" s="169"/>
      <c r="W127" s="169"/>
      <c r="X127" s="159"/>
      <c r="Y127" s="159"/>
      <c r="Z127" s="159"/>
      <c r="AA127" s="175"/>
      <c r="AB127" s="117"/>
      <c r="AC127" s="120"/>
    </row>
    <row r="128" spans="1:38" outlineLevel="1" x14ac:dyDescent="0.15">
      <c r="A128" s="128"/>
      <c r="B128" s="159"/>
      <c r="C128" s="138"/>
      <c r="D128" s="138"/>
      <c r="E128" s="138"/>
      <c r="F128" s="138"/>
      <c r="G128" s="138"/>
      <c r="H128" s="138"/>
      <c r="I128" s="138"/>
      <c r="J128" s="138"/>
      <c r="K128" s="138"/>
      <c r="L128" s="138"/>
      <c r="O128" s="227"/>
      <c r="P128" s="117"/>
      <c r="Q128" s="117"/>
      <c r="R128" s="117"/>
      <c r="S128" s="117"/>
      <c r="T128" s="117"/>
      <c r="U128" s="118"/>
      <c r="V128" s="169"/>
      <c r="W128" s="169"/>
      <c r="X128" s="159"/>
      <c r="Y128" s="159"/>
      <c r="Z128" s="159"/>
      <c r="AA128" s="175"/>
      <c r="AB128" s="117"/>
      <c r="AC128" s="120"/>
    </row>
    <row r="129" spans="1:30" outlineLevel="1" collapsed="1" x14ac:dyDescent="0.15">
      <c r="A129" s="128"/>
      <c r="B129" s="159"/>
      <c r="C129" s="138"/>
      <c r="D129" s="138"/>
      <c r="E129" s="138"/>
      <c r="F129" s="138"/>
      <c r="G129" s="138"/>
      <c r="H129" s="138"/>
      <c r="I129" s="138"/>
      <c r="J129" s="138"/>
      <c r="K129" s="138"/>
      <c r="L129" s="138"/>
      <c r="N129" s="227"/>
      <c r="O129" s="227"/>
      <c r="P129" s="117"/>
      <c r="Q129" s="117"/>
      <c r="R129" s="117"/>
      <c r="S129" s="117"/>
      <c r="T129" s="117"/>
      <c r="U129" s="118"/>
      <c r="V129" s="169"/>
      <c r="W129" s="169"/>
      <c r="X129" s="159"/>
      <c r="Y129" s="159"/>
      <c r="Z129" s="159"/>
      <c r="AA129" s="175"/>
      <c r="AB129" s="117"/>
      <c r="AC129" s="120"/>
    </row>
    <row r="130" spans="1:30" s="108" customFormat="1" outlineLevel="1" x14ac:dyDescent="0.15">
      <c r="A130" s="128"/>
      <c r="B130" s="159"/>
      <c r="C130" s="138"/>
      <c r="D130" s="138"/>
      <c r="E130" s="138"/>
      <c r="F130" s="138"/>
      <c r="G130" s="138"/>
      <c r="H130" s="138"/>
      <c r="I130" s="138"/>
      <c r="J130" s="138"/>
      <c r="K130" s="138"/>
      <c r="L130" s="138"/>
      <c r="M130" s="75"/>
      <c r="N130" s="227"/>
      <c r="O130" s="227"/>
      <c r="P130" s="145"/>
      <c r="Q130" s="145"/>
      <c r="R130" s="145"/>
      <c r="S130" s="145"/>
      <c r="T130" s="145"/>
      <c r="U130" s="146"/>
      <c r="V130" s="169"/>
      <c r="W130" s="169"/>
      <c r="X130" s="159"/>
      <c r="Y130" s="159"/>
      <c r="Z130" s="159"/>
      <c r="AA130" s="159"/>
      <c r="AB130" s="145"/>
      <c r="AC130" s="158"/>
    </row>
    <row r="131" spans="1:30" outlineLevel="1" x14ac:dyDescent="0.15">
      <c r="A131" s="128"/>
      <c r="B131" s="159"/>
      <c r="C131" s="138"/>
      <c r="D131" s="138"/>
      <c r="E131" s="138"/>
      <c r="F131" s="138"/>
      <c r="G131" s="138"/>
      <c r="H131" s="138"/>
      <c r="I131" s="138"/>
      <c r="J131" s="138"/>
      <c r="K131" s="138"/>
      <c r="L131" s="138"/>
      <c r="P131" s="117"/>
      <c r="Q131" s="117"/>
      <c r="R131" s="117"/>
      <c r="S131" s="117"/>
      <c r="T131" s="117"/>
      <c r="U131" s="118"/>
      <c r="V131" s="169"/>
      <c r="W131" s="169"/>
      <c r="X131" s="159"/>
      <c r="Y131" s="159"/>
      <c r="Z131" s="159"/>
      <c r="AA131" s="159"/>
      <c r="AB131" s="117"/>
      <c r="AC131" s="120"/>
    </row>
    <row r="132" spans="1:30" outlineLevel="1" x14ac:dyDescent="0.15">
      <c r="A132" s="128"/>
      <c r="B132" s="159"/>
      <c r="C132" s="138"/>
      <c r="D132" s="138"/>
      <c r="E132" s="138"/>
      <c r="F132" s="138"/>
      <c r="G132" s="138"/>
      <c r="H132" s="138"/>
      <c r="I132" s="138"/>
      <c r="J132" s="138"/>
      <c r="K132" s="138"/>
      <c r="L132" s="138"/>
      <c r="N132" s="300"/>
      <c r="O132" s="227"/>
      <c r="P132" s="117"/>
      <c r="Q132" s="117"/>
      <c r="R132" s="117"/>
      <c r="S132" s="117"/>
      <c r="T132" s="117"/>
      <c r="U132" s="118"/>
      <c r="V132" s="169"/>
      <c r="W132" s="169"/>
      <c r="X132" s="159"/>
      <c r="Y132" s="159"/>
      <c r="Z132" s="159"/>
      <c r="AA132" s="159"/>
      <c r="AB132" s="117"/>
      <c r="AC132" s="120"/>
    </row>
    <row r="133" spans="1:30" outlineLevel="1" x14ac:dyDescent="0.15">
      <c r="A133" s="128"/>
      <c r="B133" s="159"/>
      <c r="C133" s="138"/>
      <c r="D133" s="138"/>
      <c r="E133" s="138"/>
      <c r="F133" s="138"/>
      <c r="G133" s="138"/>
      <c r="H133" s="138"/>
      <c r="I133" s="138"/>
      <c r="J133" s="138"/>
      <c r="K133" s="138"/>
      <c r="L133" s="138"/>
      <c r="P133" s="117"/>
      <c r="Q133" s="117"/>
      <c r="R133" s="117"/>
      <c r="S133" s="117"/>
      <c r="T133" s="117"/>
      <c r="U133" s="118"/>
      <c r="V133" s="169"/>
      <c r="W133" s="169"/>
      <c r="X133" s="159"/>
      <c r="Y133" s="159"/>
      <c r="Z133" s="159"/>
      <c r="AA133" s="159"/>
      <c r="AB133" s="117"/>
      <c r="AC133" s="120"/>
    </row>
    <row r="134" spans="1:30" s="94" customFormat="1" outlineLevel="1" x14ac:dyDescent="0.15">
      <c r="A134" s="128"/>
      <c r="B134" s="159"/>
      <c r="C134" s="138"/>
      <c r="D134" s="138"/>
      <c r="E134" s="138"/>
      <c r="F134" s="138"/>
      <c r="G134" s="138"/>
      <c r="H134" s="138"/>
      <c r="I134" s="138"/>
      <c r="J134" s="138"/>
      <c r="K134" s="138"/>
      <c r="L134" s="138"/>
      <c r="M134" s="75"/>
      <c r="N134" s="75"/>
      <c r="O134" s="75"/>
      <c r="P134" s="155"/>
      <c r="Q134" s="155"/>
      <c r="R134" s="155"/>
      <c r="S134" s="155"/>
      <c r="T134" s="155"/>
      <c r="U134" s="160"/>
      <c r="V134" s="169"/>
      <c r="W134" s="169"/>
      <c r="X134" s="159"/>
      <c r="Y134" s="159"/>
      <c r="Z134" s="159"/>
      <c r="AA134" s="159"/>
      <c r="AB134" s="155"/>
      <c r="AC134" s="162"/>
    </row>
    <row r="135" spans="1:30" outlineLevel="1" x14ac:dyDescent="0.15">
      <c r="A135" s="128"/>
      <c r="B135" s="159"/>
      <c r="C135" s="138"/>
      <c r="D135" s="138"/>
      <c r="E135" s="138"/>
      <c r="F135" s="436"/>
      <c r="G135" s="138"/>
      <c r="H135" s="138"/>
      <c r="I135" s="138"/>
      <c r="J135" s="138"/>
      <c r="K135" s="138"/>
      <c r="L135" s="138"/>
      <c r="P135" s="117"/>
      <c r="Q135" s="117"/>
      <c r="R135" s="117"/>
      <c r="S135" s="117"/>
      <c r="T135" s="117"/>
      <c r="U135" s="118"/>
      <c r="V135" s="169"/>
      <c r="W135" s="169"/>
      <c r="X135" s="159"/>
      <c r="Y135" s="159"/>
      <c r="Z135" s="159"/>
      <c r="AA135" s="159"/>
      <c r="AB135" s="117"/>
      <c r="AC135" s="120"/>
    </row>
    <row r="136" spans="1:30" outlineLevel="1" x14ac:dyDescent="0.15">
      <c r="A136" s="128"/>
      <c r="B136" s="159"/>
      <c r="C136" s="138"/>
      <c r="D136" s="138"/>
      <c r="E136" s="138"/>
      <c r="F136" s="138"/>
      <c r="G136" s="138"/>
      <c r="H136" s="138"/>
      <c r="I136" s="138"/>
      <c r="J136" s="138"/>
      <c r="K136" s="138"/>
      <c r="L136" s="138"/>
      <c r="P136" s="117"/>
      <c r="Q136" s="117"/>
      <c r="R136" s="117"/>
      <c r="S136" s="117"/>
      <c r="T136" s="117"/>
      <c r="U136" s="118"/>
      <c r="V136" s="169"/>
      <c r="W136" s="169"/>
      <c r="X136" s="159"/>
      <c r="Y136" s="159"/>
      <c r="Z136" s="159"/>
      <c r="AA136" s="159"/>
      <c r="AB136" s="117"/>
      <c r="AC136" s="120"/>
    </row>
    <row r="137" spans="1:30" outlineLevel="1" x14ac:dyDescent="0.15">
      <c r="A137" s="128"/>
      <c r="B137" s="159"/>
      <c r="C137" s="138"/>
      <c r="D137" s="138"/>
      <c r="E137" s="138"/>
      <c r="F137" s="138"/>
      <c r="G137" s="138"/>
      <c r="H137" s="138"/>
      <c r="I137" s="138"/>
      <c r="J137" s="138"/>
      <c r="K137" s="138"/>
      <c r="L137" s="138"/>
      <c r="P137" s="117"/>
      <c r="Q137" s="117"/>
      <c r="R137" s="117"/>
      <c r="S137" s="117"/>
      <c r="T137" s="117"/>
      <c r="U137" s="118"/>
      <c r="V137" s="169"/>
      <c r="W137" s="169"/>
      <c r="X137" s="159"/>
      <c r="Y137" s="159"/>
      <c r="Z137" s="159"/>
      <c r="AA137" s="159"/>
      <c r="AB137" s="117"/>
      <c r="AC137" s="120"/>
    </row>
    <row r="138" spans="1:30" outlineLevel="1" x14ac:dyDescent="0.15">
      <c r="A138" s="128"/>
      <c r="B138" s="159"/>
      <c r="C138" s="138"/>
      <c r="D138" s="138"/>
      <c r="E138" s="138"/>
      <c r="F138" s="138"/>
      <c r="G138" s="138"/>
      <c r="H138" s="138"/>
      <c r="I138" s="138"/>
      <c r="J138" s="138"/>
      <c r="K138" s="138"/>
      <c r="L138" s="138"/>
      <c r="P138" s="117"/>
      <c r="Q138" s="117"/>
      <c r="R138" s="117"/>
      <c r="S138" s="117"/>
      <c r="T138" s="117"/>
      <c r="U138" s="118"/>
      <c r="W138" s="77"/>
      <c r="X138" s="111"/>
      <c r="Y138" s="111"/>
      <c r="Z138" s="111"/>
      <c r="AA138" s="159"/>
      <c r="AB138" s="117"/>
      <c r="AC138" s="120"/>
    </row>
    <row r="139" spans="1:30" outlineLevel="1" x14ac:dyDescent="0.15">
      <c r="A139" s="128"/>
      <c r="B139" s="159"/>
      <c r="C139" s="138"/>
      <c r="D139" s="138"/>
      <c r="E139" s="138"/>
      <c r="F139" s="138"/>
      <c r="G139" s="138"/>
      <c r="H139" s="138"/>
      <c r="I139" s="138"/>
      <c r="J139" s="138"/>
      <c r="K139" s="138"/>
      <c r="L139" s="138"/>
      <c r="P139" s="117"/>
      <c r="Q139" s="117"/>
      <c r="R139" s="117"/>
      <c r="S139" s="117"/>
      <c r="T139" s="117"/>
      <c r="U139" s="118"/>
      <c r="W139" s="77"/>
      <c r="X139" s="111"/>
      <c r="Y139" s="111"/>
      <c r="Z139" s="111"/>
      <c r="AA139" s="159"/>
      <c r="AB139" s="117"/>
      <c r="AC139" s="120"/>
    </row>
    <row r="140" spans="1:30" outlineLevel="1" x14ac:dyDescent="0.15">
      <c r="A140" s="128"/>
      <c r="B140" s="159"/>
      <c r="C140" s="138"/>
      <c r="D140" s="138"/>
      <c r="E140" s="138"/>
      <c r="F140" s="138"/>
      <c r="G140" s="138"/>
      <c r="H140" s="138"/>
      <c r="I140" s="138"/>
      <c r="J140" s="138"/>
      <c r="K140" s="138"/>
      <c r="L140" s="138"/>
      <c r="P140" s="117"/>
      <c r="Q140" s="117"/>
      <c r="R140" s="117"/>
      <c r="S140" s="117"/>
      <c r="T140" s="117"/>
      <c r="U140" s="118"/>
      <c r="W140" s="77"/>
      <c r="X140" s="111"/>
      <c r="Y140" s="111"/>
      <c r="Z140" s="111"/>
      <c r="AA140" s="159"/>
      <c r="AB140" s="117"/>
      <c r="AC140" s="120"/>
    </row>
    <row r="141" spans="1:30" outlineLevel="1" x14ac:dyDescent="0.15">
      <c r="A141" s="128"/>
      <c r="B141" s="159"/>
      <c r="C141" s="138"/>
      <c r="D141" s="138"/>
      <c r="E141" s="138"/>
      <c r="F141" s="138"/>
      <c r="G141" s="138"/>
      <c r="H141" s="138"/>
      <c r="I141" s="138"/>
      <c r="J141" s="138"/>
      <c r="K141" s="138"/>
      <c r="L141" s="138"/>
      <c r="P141" s="117"/>
      <c r="Q141" s="117"/>
      <c r="R141" s="117"/>
      <c r="S141" s="117"/>
      <c r="T141" s="117"/>
      <c r="U141" s="118"/>
      <c r="W141" s="77"/>
      <c r="X141" s="111"/>
      <c r="Y141" s="111"/>
      <c r="Z141" s="111"/>
      <c r="AA141" s="159"/>
      <c r="AB141" s="117"/>
      <c r="AC141" s="120"/>
    </row>
    <row r="142" spans="1:30" outlineLevel="1" x14ac:dyDescent="0.15">
      <c r="A142" s="128"/>
      <c r="B142" s="159"/>
      <c r="C142" s="138"/>
      <c r="D142" s="138"/>
      <c r="E142" s="138"/>
      <c r="F142" s="138"/>
      <c r="G142" s="138"/>
      <c r="H142" s="138"/>
      <c r="I142" s="138"/>
      <c r="J142" s="138"/>
      <c r="K142" s="138"/>
      <c r="L142" s="138"/>
      <c r="P142" s="117"/>
      <c r="Q142" s="117"/>
      <c r="R142" s="117"/>
      <c r="S142" s="117"/>
      <c r="T142" s="117"/>
      <c r="U142" s="118"/>
      <c r="W142" s="77"/>
      <c r="X142" s="111"/>
      <c r="Y142" s="111"/>
      <c r="Z142" s="111"/>
      <c r="AA142" s="159"/>
      <c r="AB142" s="117"/>
      <c r="AC142" s="120"/>
    </row>
    <row r="143" spans="1:30" s="108" customFormat="1" outlineLevel="1" x14ac:dyDescent="0.15">
      <c r="A143" s="128"/>
      <c r="B143" s="159"/>
      <c r="C143" s="138"/>
      <c r="D143" s="138"/>
      <c r="E143" s="138"/>
      <c r="F143" s="138"/>
      <c r="G143" s="138"/>
      <c r="H143" s="138"/>
      <c r="I143" s="138"/>
      <c r="J143" s="138"/>
      <c r="K143" s="138"/>
      <c r="L143" s="138"/>
      <c r="M143" s="75"/>
      <c r="N143" s="75"/>
      <c r="O143" s="75"/>
      <c r="P143" s="159"/>
      <c r="Q143" s="159"/>
      <c r="R143" s="159"/>
      <c r="S143" s="159"/>
      <c r="T143" s="159"/>
      <c r="U143" s="168"/>
      <c r="V143" s="77"/>
      <c r="W143" s="77"/>
      <c r="X143" s="111"/>
      <c r="Y143" s="111"/>
      <c r="Z143" s="111"/>
      <c r="AA143" s="111"/>
      <c r="AB143" s="159"/>
      <c r="AC143" s="170"/>
      <c r="AD143" s="171"/>
    </row>
    <row r="144" spans="1:30" outlineLevel="1" x14ac:dyDescent="0.15">
      <c r="A144" s="128"/>
      <c r="B144" s="159"/>
      <c r="C144" s="138"/>
      <c r="D144" s="138"/>
      <c r="E144" s="138"/>
      <c r="F144" s="138"/>
      <c r="G144" s="138"/>
      <c r="H144" s="138"/>
      <c r="I144" s="138"/>
      <c r="J144" s="138"/>
      <c r="K144" s="138"/>
      <c r="L144" s="138"/>
      <c r="P144" s="117"/>
      <c r="Q144" s="117"/>
      <c r="R144" s="117"/>
      <c r="S144" s="117"/>
      <c r="T144" s="117"/>
      <c r="U144" s="118"/>
      <c r="W144" s="77"/>
      <c r="X144" s="111"/>
      <c r="Y144" s="111"/>
      <c r="Z144" s="111"/>
      <c r="AA144" s="111"/>
      <c r="AB144" s="117"/>
      <c r="AC144" s="120"/>
    </row>
    <row r="145" spans="1:29" outlineLevel="1" x14ac:dyDescent="0.15">
      <c r="A145" s="128"/>
      <c r="B145" s="159"/>
      <c r="C145" s="138"/>
      <c r="D145" s="138"/>
      <c r="E145" s="138"/>
      <c r="F145" s="138"/>
      <c r="G145" s="138"/>
      <c r="H145" s="138"/>
      <c r="I145" s="138"/>
      <c r="J145" s="138"/>
      <c r="K145" s="138"/>
      <c r="L145" s="138"/>
      <c r="P145" s="117"/>
      <c r="Q145" s="117"/>
      <c r="R145" s="117"/>
      <c r="S145" s="117"/>
      <c r="T145" s="117"/>
      <c r="U145" s="118"/>
      <c r="AA145" s="111"/>
      <c r="AB145" s="117"/>
      <c r="AC145" s="120"/>
    </row>
    <row r="146" spans="1:29" outlineLevel="1" x14ac:dyDescent="0.15">
      <c r="A146" s="128"/>
      <c r="B146" s="159"/>
      <c r="C146" s="138"/>
      <c r="D146" s="138"/>
      <c r="E146" s="138"/>
      <c r="F146" s="138"/>
      <c r="G146" s="138"/>
      <c r="H146" s="138"/>
      <c r="I146" s="138"/>
      <c r="J146" s="138"/>
      <c r="K146" s="138"/>
      <c r="L146" s="138"/>
      <c r="P146" s="117"/>
      <c r="Q146" s="117"/>
      <c r="R146" s="117"/>
      <c r="S146" s="117"/>
      <c r="T146" s="117"/>
      <c r="U146" s="118"/>
      <c r="AA146" s="111"/>
      <c r="AB146" s="117"/>
      <c r="AC146" s="120"/>
    </row>
    <row r="147" spans="1:29" outlineLevel="1" x14ac:dyDescent="0.15">
      <c r="A147" s="128"/>
      <c r="B147" s="159"/>
      <c r="C147" s="138"/>
      <c r="D147" s="138"/>
      <c r="E147" s="138"/>
      <c r="F147" s="138"/>
      <c r="G147" s="138"/>
      <c r="H147" s="138"/>
      <c r="I147" s="138"/>
      <c r="J147" s="138"/>
      <c r="K147" s="138"/>
      <c r="L147" s="138"/>
      <c r="P147" s="117"/>
      <c r="Q147" s="117"/>
      <c r="R147" s="117"/>
      <c r="S147" s="117"/>
      <c r="T147" s="117"/>
      <c r="U147" s="118"/>
      <c r="AA147" s="111"/>
      <c r="AB147" s="117"/>
      <c r="AC147" s="120"/>
    </row>
    <row r="148" spans="1:29" outlineLevel="1" x14ac:dyDescent="0.15">
      <c r="P148" s="117"/>
      <c r="Q148" s="117"/>
      <c r="R148" s="117"/>
      <c r="S148" s="117"/>
      <c r="T148" s="117"/>
      <c r="U148" s="118"/>
      <c r="AA148" s="111"/>
      <c r="AB148" s="117"/>
      <c r="AC148" s="120"/>
    </row>
    <row r="149" spans="1:29" s="108" customFormat="1" outlineLevel="1" x14ac:dyDescent="0.15">
      <c r="A149" s="78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145"/>
      <c r="Q149" s="145"/>
      <c r="R149" s="145"/>
      <c r="S149" s="145"/>
      <c r="T149" s="145"/>
      <c r="U149" s="146"/>
      <c r="AA149" s="111"/>
      <c r="AB149" s="145"/>
      <c r="AC149" s="158"/>
    </row>
    <row r="150" spans="1:29" outlineLevel="1" x14ac:dyDescent="0.15">
      <c r="A150" s="181" t="s">
        <v>107</v>
      </c>
      <c r="B150" s="182"/>
      <c r="C150" s="138"/>
      <c r="D150" s="138"/>
      <c r="E150" s="138"/>
      <c r="F150" s="138"/>
      <c r="G150" s="138"/>
      <c r="H150" s="138"/>
      <c r="I150" s="117"/>
      <c r="J150" s="117"/>
      <c r="K150" s="117"/>
      <c r="L150" s="117"/>
      <c r="P150" s="117"/>
      <c r="Q150" s="117"/>
      <c r="R150" s="117"/>
      <c r="S150" s="117"/>
      <c r="T150" s="117"/>
      <c r="AA150" s="145"/>
      <c r="AB150" s="111"/>
      <c r="AC150" s="185"/>
    </row>
    <row r="151" spans="1:29" ht="15" outlineLevel="1" x14ac:dyDescent="0.15">
      <c r="A151" s="223" t="s">
        <v>275</v>
      </c>
      <c r="B151" s="262"/>
      <c r="C151" s="220">
        <v>48914.9</v>
      </c>
      <c r="D151" s="220">
        <v>51747.4</v>
      </c>
      <c r="E151" s="220">
        <v>50023.7</v>
      </c>
      <c r="F151" s="220">
        <v>51130.9</v>
      </c>
      <c r="G151" s="220">
        <v>53044</v>
      </c>
      <c r="H151" s="220">
        <v>50707.6</v>
      </c>
      <c r="I151" s="220">
        <v>55758.9</v>
      </c>
      <c r="J151" s="220">
        <v>52683.5</v>
      </c>
      <c r="K151" s="220">
        <v>52150.3</v>
      </c>
      <c r="L151" s="220">
        <v>43712.3</v>
      </c>
      <c r="M151" s="139">
        <f>L151+L115</f>
        <v>44966.600000000006</v>
      </c>
      <c r="N151" s="139">
        <f>M151+M115</f>
        <v>46487.001640464259</v>
      </c>
      <c r="O151" s="139">
        <f>N151+N115</f>
        <v>48082.63376273348</v>
      </c>
      <c r="P151" s="139">
        <f>O151+O115</f>
        <v>49716.817858534494</v>
      </c>
      <c r="Q151" s="139">
        <f>P151+P115</f>
        <v>51217.844119928712</v>
      </c>
      <c r="R151" s="117"/>
      <c r="S151" s="117"/>
      <c r="T151" s="117"/>
      <c r="AA151" s="117"/>
      <c r="AB151" s="111"/>
      <c r="AC151" s="185"/>
    </row>
    <row r="152" spans="1:29" outlineLevel="1" x14ac:dyDescent="0.15">
      <c r="A152" s="128" t="s">
        <v>74</v>
      </c>
      <c r="B152" s="159"/>
      <c r="C152" s="138"/>
      <c r="D152" s="138">
        <f t="shared" ref="D152" si="246">D151/C151-1</f>
        <v>5.7906691008261291E-2</v>
      </c>
      <c r="E152" s="138">
        <f t="shared" ref="E152" si="247">E151/D151-1</f>
        <v>-3.330988610055774E-2</v>
      </c>
      <c r="F152" s="138">
        <f t="shared" ref="F152" si="248">F151/E151-1</f>
        <v>2.2133508716868366E-2</v>
      </c>
      <c r="G152" s="138">
        <f t="shared" ref="G152" si="249">G151/F151-1</f>
        <v>3.7415730996325003E-2</v>
      </c>
      <c r="H152" s="138">
        <f t="shared" ref="H152" si="250">H151/G151-1</f>
        <v>-4.4046452002111436E-2</v>
      </c>
      <c r="I152" s="138">
        <f t="shared" ref="I152" si="251">I151/H151-1</f>
        <v>9.9616231097508168E-2</v>
      </c>
      <c r="J152" s="138">
        <f t="shared" ref="J152" si="252">J151/I151-1</f>
        <v>-5.5155320495920868E-2</v>
      </c>
      <c r="K152" s="138">
        <f t="shared" ref="K152" si="253">K151/J151-1</f>
        <v>-1.0120815815198303E-2</v>
      </c>
      <c r="L152" s="138">
        <f t="shared" ref="L152" si="254">L151/K151-1</f>
        <v>-0.16180156202361251</v>
      </c>
      <c r="M152" s="138">
        <f t="shared" ref="M152" si="255">M151/L151-1</f>
        <v>2.86944406951819E-2</v>
      </c>
      <c r="N152" s="138">
        <f t="shared" ref="N152" si="256">N151/M151-1</f>
        <v>3.3811798990011521E-2</v>
      </c>
      <c r="O152" s="138">
        <f t="shared" ref="O152" si="257">O151/N151-1</f>
        <v>3.4324264116021519E-2</v>
      </c>
      <c r="P152" s="138">
        <f t="shared" ref="P152" si="258">P151/O151-1</f>
        <v>3.3986992140758954E-2</v>
      </c>
      <c r="Q152" s="138">
        <f t="shared" ref="Q152" si="259">Q151/P151-1</f>
        <v>3.0191519209159301E-2</v>
      </c>
      <c r="R152" s="111"/>
      <c r="S152" s="111"/>
      <c r="T152" s="111"/>
      <c r="AA152" s="145"/>
    </row>
    <row r="153" spans="1:29" ht="15" outlineLevel="1" x14ac:dyDescent="0.15">
      <c r="A153" s="223" t="s">
        <v>276</v>
      </c>
      <c r="B153" s="262"/>
      <c r="C153" s="220">
        <v>94.1</v>
      </c>
      <c r="D153" s="220">
        <v>102.5</v>
      </c>
      <c r="E153" s="220">
        <v>112.9</v>
      </c>
      <c r="F153" s="220">
        <v>100.4</v>
      </c>
      <c r="G153" s="220">
        <v>77.400000000000006</v>
      </c>
      <c r="H153" s="220">
        <v>94</v>
      </c>
      <c r="I153" s="220">
        <v>84.1</v>
      </c>
      <c r="J153" s="220">
        <v>197</v>
      </c>
      <c r="K153" s="220">
        <v>75</v>
      </c>
      <c r="L153" s="220">
        <v>119.2</v>
      </c>
      <c r="M153" s="139">
        <v>120</v>
      </c>
      <c r="N153" s="139">
        <f>M153</f>
        <v>120</v>
      </c>
      <c r="O153" s="139">
        <f t="shared" ref="O153" si="260">N153</f>
        <v>120</v>
      </c>
      <c r="P153" s="139">
        <f t="shared" ref="P153" si="261">O153</f>
        <v>120</v>
      </c>
      <c r="Q153" s="139">
        <f t="shared" ref="Q153" si="262">P153</f>
        <v>120</v>
      </c>
      <c r="R153" s="117"/>
      <c r="S153" s="117"/>
      <c r="T153" s="117"/>
      <c r="AA153" s="145"/>
      <c r="AB153" s="111"/>
      <c r="AC153" s="185"/>
    </row>
    <row r="154" spans="1:29" outlineLevel="1" x14ac:dyDescent="0.15">
      <c r="A154" s="223"/>
      <c r="B154" s="262"/>
      <c r="C154" s="220"/>
      <c r="D154" s="220"/>
      <c r="E154" s="220"/>
      <c r="F154" s="220"/>
      <c r="G154" s="220"/>
      <c r="H154" s="220"/>
      <c r="I154" s="220"/>
      <c r="J154" s="220"/>
      <c r="K154" s="220"/>
      <c r="L154" s="220"/>
      <c r="P154" s="117"/>
      <c r="Q154" s="117"/>
      <c r="R154" s="117"/>
      <c r="S154" s="117"/>
      <c r="T154" s="117"/>
      <c r="AA154" s="145"/>
      <c r="AB154" s="111"/>
      <c r="AC154" s="185"/>
    </row>
    <row r="155" spans="1:29" ht="15" outlineLevel="1" x14ac:dyDescent="0.15">
      <c r="A155" s="223" t="s">
        <v>281</v>
      </c>
      <c r="B155" s="262"/>
      <c r="C155" s="220">
        <v>1647.8</v>
      </c>
      <c r="D155" s="220">
        <v>1634.7</v>
      </c>
      <c r="E155" s="220">
        <v>1598.4</v>
      </c>
      <c r="F155" s="220">
        <v>1610.8</v>
      </c>
      <c r="G155" s="220">
        <v>1665.7</v>
      </c>
      <c r="H155" s="220">
        <v>1615.5</v>
      </c>
      <c r="I155" s="220">
        <v>1602.9</v>
      </c>
      <c r="J155" s="220">
        <v>1519.3</v>
      </c>
      <c r="K155" s="220">
        <v>1519.9</v>
      </c>
      <c r="L155" s="220">
        <v>1482.1</v>
      </c>
      <c r="M155" s="139">
        <f>M156*M11</f>
        <v>1660.2274960514005</v>
      </c>
      <c r="N155" s="139">
        <f>N156*N11</f>
        <v>1962.4133231999999</v>
      </c>
      <c r="O155" s="139">
        <f>O156*O11</f>
        <v>1835.2854550297075</v>
      </c>
      <c r="P155" s="139">
        <f>P156*P11</f>
        <v>1857.3825639495772</v>
      </c>
      <c r="Q155" s="139">
        <f>Q156*Q11</f>
        <v>1871.8980021622217</v>
      </c>
      <c r="R155" s="117"/>
      <c r="S155" s="117"/>
      <c r="T155" s="117"/>
      <c r="AA155" s="145"/>
      <c r="AB155" s="111"/>
      <c r="AC155" s="185"/>
    </row>
    <row r="156" spans="1:29" ht="15" outlineLevel="1" x14ac:dyDescent="0.15">
      <c r="A156" s="497" t="s">
        <v>529</v>
      </c>
      <c r="B156" s="262"/>
      <c r="C156" s="301">
        <f t="shared" ref="C156:L156" si="263">C155/C11</f>
        <v>0.21611342085590252</v>
      </c>
      <c r="D156" s="301">
        <f t="shared" si="263"/>
        <v>0.20965218283486381</v>
      </c>
      <c r="E156" s="301">
        <f t="shared" si="263"/>
        <v>0.19776304068098585</v>
      </c>
      <c r="F156" s="301">
        <f t="shared" si="263"/>
        <v>0.19273245031527811</v>
      </c>
      <c r="G156" s="301">
        <f t="shared" si="263"/>
        <v>0.19375138127973385</v>
      </c>
      <c r="H156" s="301">
        <f t="shared" si="263"/>
        <v>0.17977765660297571</v>
      </c>
      <c r="I156" s="301">
        <f t="shared" si="263"/>
        <v>0.17114760399760828</v>
      </c>
      <c r="J156" s="301">
        <f t="shared" si="263"/>
        <v>0.16200509698126486</v>
      </c>
      <c r="K156" s="301">
        <f t="shared" si="263"/>
        <v>0.16031009387195444</v>
      </c>
      <c r="L156" s="301">
        <f t="shared" si="263"/>
        <v>0.15401001724962071</v>
      </c>
      <c r="M156" s="299">
        <f>AVERAGE(H156:L156)</f>
        <v>0.16545009374068481</v>
      </c>
      <c r="N156" s="299">
        <v>0.18</v>
      </c>
      <c r="O156" s="299">
        <f t="shared" ref="O156" si="264">AVERAGE(J156:N156)</f>
        <v>0.16435506036870495</v>
      </c>
      <c r="P156" s="299">
        <f t="shared" ref="P156" si="265">AVERAGE(K156:O156)</f>
        <v>0.16482505304619299</v>
      </c>
      <c r="Q156" s="299">
        <f t="shared" ref="Q156" si="266">AVERAGE(L156:P156)</f>
        <v>0.1657280448810407</v>
      </c>
      <c r="R156" s="117"/>
      <c r="S156" s="117"/>
      <c r="T156" s="117"/>
      <c r="AA156" s="145"/>
      <c r="AB156" s="111"/>
      <c r="AC156" s="185"/>
    </row>
    <row r="157" spans="1:29" outlineLevel="1" x14ac:dyDescent="0.15">
      <c r="A157" s="223"/>
      <c r="B157" s="262"/>
      <c r="C157" s="220"/>
      <c r="D157" s="220"/>
      <c r="E157" s="220"/>
      <c r="F157" s="220"/>
      <c r="G157" s="220"/>
      <c r="H157" s="220"/>
      <c r="I157" s="220"/>
      <c r="J157" s="220"/>
      <c r="K157" s="220"/>
      <c r="L157" s="220"/>
      <c r="P157" s="117"/>
      <c r="Q157" s="117"/>
      <c r="R157" s="117"/>
      <c r="S157" s="117"/>
      <c r="T157" s="117"/>
      <c r="AA157" s="145"/>
      <c r="AB157" s="111"/>
      <c r="AC157" s="185"/>
    </row>
    <row r="158" spans="1:29" ht="15" outlineLevel="1" x14ac:dyDescent="0.15">
      <c r="A158" s="223" t="s">
        <v>277</v>
      </c>
      <c r="B158" s="262"/>
      <c r="C158" s="220">
        <v>4806.5</v>
      </c>
      <c r="D158" s="220">
        <v>4906.3999999999996</v>
      </c>
      <c r="E158" s="220">
        <v>4725.1000000000004</v>
      </c>
      <c r="F158" s="220">
        <v>4858.8999999999996</v>
      </c>
      <c r="G158" s="220">
        <v>4879.2</v>
      </c>
      <c r="H158" s="220">
        <v>4662.3999999999996</v>
      </c>
      <c r="I158" s="220">
        <v>4780.7</v>
      </c>
      <c r="J158" s="220">
        <v>10666</v>
      </c>
      <c r="K158" s="220">
        <v>10919.3</v>
      </c>
      <c r="L158" s="220">
        <v>9608</v>
      </c>
      <c r="M158" s="139">
        <f>M159*M11</f>
        <v>10034.611999999999</v>
      </c>
      <c r="N158" s="139">
        <f>N159*N11</f>
        <v>10461.596813636626</v>
      </c>
      <c r="O158" s="139">
        <f>O159*O11</f>
        <v>10608.259814859999</v>
      </c>
      <c r="P158" s="139">
        <f>P159*P11</f>
        <v>10592.683441292718</v>
      </c>
      <c r="Q158" s="139">
        <f>Q159*Q11</f>
        <v>10617.298498244607</v>
      </c>
      <c r="R158" s="117"/>
      <c r="S158" s="117"/>
      <c r="T158" s="117"/>
      <c r="AA158" s="111"/>
      <c r="AB158" s="111"/>
      <c r="AC158" s="185"/>
    </row>
    <row r="159" spans="1:29" ht="15" outlineLevel="1" x14ac:dyDescent="0.15">
      <c r="A159" s="497" t="s">
        <v>529</v>
      </c>
      <c r="B159" s="262"/>
      <c r="C159" s="301">
        <f t="shared" ref="C159:L159" si="267">C158/C11</f>
        <v>0.63038545778850319</v>
      </c>
      <c r="D159" s="301">
        <f t="shared" si="267"/>
        <v>0.62925152618888824</v>
      </c>
      <c r="E159" s="301">
        <f t="shared" si="267"/>
        <v>0.58461595565673574</v>
      </c>
      <c r="F159" s="301">
        <f t="shared" si="267"/>
        <v>0.58136807973485516</v>
      </c>
      <c r="G159" s="301">
        <f t="shared" si="267"/>
        <v>0.5675402170499354</v>
      </c>
      <c r="H159" s="301">
        <f t="shared" si="267"/>
        <v>0.51884577291594791</v>
      </c>
      <c r="I159" s="301">
        <f t="shared" si="267"/>
        <v>0.51045314768941652</v>
      </c>
      <c r="J159" s="301">
        <f t="shared" si="267"/>
        <v>1.1373305893517875</v>
      </c>
      <c r="K159" s="301">
        <f t="shared" si="267"/>
        <v>1.1517034068136272</v>
      </c>
      <c r="L159" s="301">
        <f t="shared" si="267"/>
        <v>0.99839973398175286</v>
      </c>
      <c r="M159" s="299">
        <v>1</v>
      </c>
      <c r="N159" s="299">
        <f t="shared" ref="N159" si="268">AVERAGE(I159:M159)</f>
        <v>0.95957737556731681</v>
      </c>
      <c r="O159" s="299">
        <v>0.95</v>
      </c>
      <c r="P159" s="299">
        <v>0.94</v>
      </c>
      <c r="Q159" s="299">
        <v>0.94</v>
      </c>
      <c r="R159" s="117"/>
      <c r="S159" s="117"/>
      <c r="T159" s="117"/>
      <c r="AA159" s="111"/>
      <c r="AB159" s="111"/>
      <c r="AC159" s="185"/>
    </row>
    <row r="160" spans="1:29" outlineLevel="1" x14ac:dyDescent="0.15">
      <c r="A160" s="223"/>
      <c r="B160" s="262"/>
      <c r="C160" s="220"/>
      <c r="D160" s="220"/>
      <c r="E160" s="220"/>
      <c r="F160" s="220"/>
      <c r="G160" s="220"/>
      <c r="H160" s="220"/>
      <c r="I160" s="220"/>
      <c r="J160" s="220"/>
      <c r="K160" s="220"/>
      <c r="L160" s="220"/>
      <c r="P160" s="117"/>
      <c r="Q160" s="117"/>
      <c r="R160" s="117"/>
      <c r="S160" s="117"/>
      <c r="T160" s="117"/>
      <c r="AA160" s="111"/>
      <c r="AB160" s="111"/>
      <c r="AC160" s="185"/>
    </row>
    <row r="161" spans="1:46" ht="15" outlineLevel="1" x14ac:dyDescent="0.15">
      <c r="A161" s="223" t="s">
        <v>278</v>
      </c>
      <c r="B161" s="262"/>
      <c r="C161" s="220">
        <v>700.2</v>
      </c>
      <c r="D161" s="220">
        <v>696.1</v>
      </c>
      <c r="E161" s="220">
        <v>702.8</v>
      </c>
      <c r="F161" s="220">
        <v>693.3</v>
      </c>
      <c r="G161" s="220">
        <v>690.1</v>
      </c>
      <c r="H161" s="220">
        <v>690.6</v>
      </c>
      <c r="I161" s="220">
        <v>693</v>
      </c>
      <c r="J161" s="220">
        <v>611.4</v>
      </c>
      <c r="K161" s="220">
        <v>602.70000000000005</v>
      </c>
      <c r="L161" s="220">
        <v>615</v>
      </c>
      <c r="M161" s="139">
        <f>M22</f>
        <v>2166.9448393244011</v>
      </c>
      <c r="N161" s="139">
        <f>N22</f>
        <v>2231.3760787422843</v>
      </c>
      <c r="O161" s="139">
        <f>O22</f>
        <v>2307.966420611207</v>
      </c>
      <c r="P161" s="139">
        <f>P22</f>
        <v>2386.4072572096557</v>
      </c>
      <c r="Q161" s="139">
        <f>Q22</f>
        <v>2458.4565177565783</v>
      </c>
      <c r="R161" s="117"/>
      <c r="S161" s="117"/>
      <c r="T161" s="117"/>
      <c r="V161" s="119" t="s">
        <v>78</v>
      </c>
      <c r="W161" s="119" t="s">
        <v>112</v>
      </c>
      <c r="X161" s="117" t="str" cm="1">
        <f t="array" ref="X161">_xll.FDSC("--",$A$1,""&amp;$V161&amp;"("&amp;$W161&amp;","&amp;D$2&amp;",ANNUAL_ROLL,+1,0,,,'CURRENCY="&amp;$E$1&amp;"')")</f>
        <v>--</v>
      </c>
      <c r="Y161" s="117" t="str" cm="1">
        <f t="array" ref="Y161">_xll.FDSC("--",$A$1,""&amp;$V161&amp;"("&amp;$W161&amp;","&amp;D$2&amp;",ANNUAL_ROLL,+2,0,,,'CURRENCY="&amp;$E$1&amp;"')")</f>
        <v>--</v>
      </c>
      <c r="Z161" s="117" t="str" cm="1">
        <f t="array" ref="Z161">_xll.FDSC("--",$A$1,""&amp;$V161&amp;"("&amp;$W161&amp;","&amp;D$2&amp;",ANNUAL_ROLL,+3,0,,,'CURRENCY="&amp;$E$1&amp;"')")</f>
        <v>--</v>
      </c>
      <c r="AA161" s="117"/>
      <c r="AB161" s="111"/>
      <c r="AC161" s="185"/>
    </row>
    <row r="162" spans="1:46" ht="15" outlineLevel="1" x14ac:dyDescent="0.15">
      <c r="A162" s="497" t="s">
        <v>530</v>
      </c>
      <c r="B162" s="262"/>
      <c r="C162" s="301">
        <f t="shared" ref="C162:L162" si="269">C161/C22</f>
        <v>0.27846490355935577</v>
      </c>
      <c r="D162" s="301">
        <f t="shared" si="269"/>
        <v>0.27603299230708228</v>
      </c>
      <c r="E162" s="301">
        <f t="shared" si="269"/>
        <v>0.28455745404486193</v>
      </c>
      <c r="F162" s="301">
        <f t="shared" si="269"/>
        <v>0.27580856904165174</v>
      </c>
      <c r="G162" s="301">
        <f t="shared" si="269"/>
        <v>0.27602895884164635</v>
      </c>
      <c r="H162" s="301">
        <f t="shared" si="269"/>
        <v>0.28399884854217217</v>
      </c>
      <c r="I162" s="301">
        <f t="shared" si="269"/>
        <v>0.28431935669155656</v>
      </c>
      <c r="J162" s="301">
        <f t="shared" si="269"/>
        <v>0.17175122197876286</v>
      </c>
      <c r="K162" s="301">
        <f t="shared" si="269"/>
        <v>0.26319926634350849</v>
      </c>
      <c r="L162" s="301">
        <f t="shared" si="269"/>
        <v>0.29195347733206739</v>
      </c>
      <c r="M162" s="299">
        <f>AVERAGE(H162:L162)</f>
        <v>0.25904443417761353</v>
      </c>
      <c r="N162" s="299">
        <v>0.26</v>
      </c>
      <c r="O162" s="299">
        <f>N162</f>
        <v>0.26</v>
      </c>
      <c r="P162" s="299">
        <f t="shared" ref="P162:Q162" si="270">AVERAGE(L162:O162)</f>
        <v>0.26774947787742021</v>
      </c>
      <c r="Q162" s="299">
        <f t="shared" si="270"/>
        <v>0.26169847801375845</v>
      </c>
      <c r="R162" s="117"/>
      <c r="S162" s="117"/>
      <c r="T162" s="117"/>
      <c r="V162" s="119"/>
      <c r="W162" s="119"/>
      <c r="X162" s="117"/>
      <c r="Y162" s="117"/>
      <c r="Z162" s="117"/>
      <c r="AA162" s="117"/>
      <c r="AB162" s="111"/>
      <c r="AC162" s="185"/>
    </row>
    <row r="163" spans="1:46" outlineLevel="1" x14ac:dyDescent="0.15">
      <c r="A163" s="223"/>
      <c r="B163" s="262"/>
      <c r="C163" s="220"/>
      <c r="D163" s="220"/>
      <c r="E163" s="220"/>
      <c r="F163" s="220"/>
      <c r="G163" s="220"/>
      <c r="H163" s="220"/>
      <c r="I163" s="220"/>
      <c r="J163" s="220"/>
      <c r="K163" s="220"/>
      <c r="L163" s="220"/>
      <c r="P163" s="117"/>
      <c r="Q163" s="117"/>
      <c r="R163" s="117"/>
      <c r="S163" s="117"/>
      <c r="T163" s="117"/>
      <c r="W163" s="77"/>
      <c r="X163" s="111"/>
      <c r="Y163" s="111"/>
      <c r="Z163" s="111"/>
      <c r="AA163" s="117"/>
      <c r="AB163" s="111"/>
      <c r="AC163" s="185"/>
    </row>
    <row r="164" spans="1:46" ht="15" outlineLevel="1" x14ac:dyDescent="0.15">
      <c r="A164" s="223" t="s">
        <v>279</v>
      </c>
      <c r="B164" s="262"/>
      <c r="C164" s="220">
        <v>1829.2</v>
      </c>
      <c r="D164" s="220">
        <v>1901.3</v>
      </c>
      <c r="E164" s="220">
        <v>2008.5</v>
      </c>
      <c r="F164" s="220">
        <v>2094.1999999999998</v>
      </c>
      <c r="G164" s="220">
        <v>2184.6</v>
      </c>
      <c r="H164" s="220">
        <v>2309.4</v>
      </c>
      <c r="I164" s="220">
        <v>2324</v>
      </c>
      <c r="J164" s="220">
        <v>2272.6</v>
      </c>
      <c r="K164" s="220">
        <v>2207.9</v>
      </c>
      <c r="L164" s="220">
        <v>2560</v>
      </c>
      <c r="M164" s="139">
        <f>M165*M11</f>
        <v>2501.3560644478584</v>
      </c>
      <c r="N164" s="139">
        <f>N165*N11</f>
        <v>2700.8040922870741</v>
      </c>
      <c r="O164" s="139">
        <f>O165*O11</f>
        <v>2765.3519895419713</v>
      </c>
      <c r="P164" s="139">
        <f>P165*P11</f>
        <v>2802.644936419731</v>
      </c>
      <c r="Q164" s="139">
        <f>Q165*Q11</f>
        <v>2844.9217575883144</v>
      </c>
      <c r="R164" s="117"/>
      <c r="S164" s="117"/>
      <c r="T164" s="117"/>
      <c r="W164" s="77"/>
      <c r="X164" s="111"/>
      <c r="Y164" s="111"/>
      <c r="Z164" s="111"/>
      <c r="AA164" s="117"/>
      <c r="AB164" s="111"/>
      <c r="AC164" s="185"/>
    </row>
    <row r="165" spans="1:46" ht="15" outlineLevel="1" x14ac:dyDescent="0.15">
      <c r="A165" s="497" t="s">
        <v>529</v>
      </c>
      <c r="B165" s="262"/>
      <c r="C165" s="301">
        <f t="shared" ref="C165:L165" si="271">C164/C11</f>
        <v>0.23990452083360658</v>
      </c>
      <c r="D165" s="301">
        <f t="shared" si="271"/>
        <v>0.2438439439798902</v>
      </c>
      <c r="E165" s="301">
        <f t="shared" si="271"/>
        <v>0.24850291992477483</v>
      </c>
      <c r="F165" s="301">
        <f t="shared" si="271"/>
        <v>0.25057132943273863</v>
      </c>
      <c r="G165" s="301">
        <f t="shared" si="271"/>
        <v>0.25410894371357784</v>
      </c>
      <c r="H165" s="301">
        <f t="shared" si="271"/>
        <v>0.25699691746141262</v>
      </c>
      <c r="I165" s="301">
        <f t="shared" si="271"/>
        <v>0.24814213718288203</v>
      </c>
      <c r="J165" s="301">
        <f t="shared" si="271"/>
        <v>0.24233053603608404</v>
      </c>
      <c r="K165" s="301">
        <f t="shared" si="271"/>
        <v>0.23287627887353657</v>
      </c>
      <c r="L165" s="301">
        <f t="shared" si="271"/>
        <v>0.26601824718914313</v>
      </c>
      <c r="M165" s="299">
        <f>AVERAGE(H165:L165)</f>
        <v>0.24927282334861167</v>
      </c>
      <c r="N165" s="299">
        <f t="shared" ref="N165:O165" si="272">AVERAGE(I165:M165)</f>
        <v>0.24772800452605148</v>
      </c>
      <c r="O165" s="299">
        <f t="shared" si="272"/>
        <v>0.24764517799468538</v>
      </c>
      <c r="P165" s="299">
        <f t="shared" ref="P165" si="273">AVERAGE(K165:O165)</f>
        <v>0.24870810638640567</v>
      </c>
      <c r="Q165" s="299">
        <f t="shared" ref="Q165" si="274">AVERAGE(L165:P165)</f>
        <v>0.25187447188897949</v>
      </c>
      <c r="R165" s="117"/>
      <c r="S165" s="117"/>
      <c r="T165" s="117"/>
      <c r="V165" s="188"/>
      <c r="W165" s="188"/>
      <c r="X165" s="189"/>
      <c r="Y165" s="189"/>
      <c r="Z165" s="189"/>
      <c r="AA165" s="111"/>
      <c r="AB165" s="111"/>
      <c r="AC165" s="185"/>
    </row>
    <row r="166" spans="1:46" outlineLevel="1" x14ac:dyDescent="0.15">
      <c r="A166" s="223"/>
      <c r="B166" s="262"/>
      <c r="C166" s="220"/>
      <c r="D166" s="220"/>
      <c r="E166" s="220"/>
      <c r="F166" s="220"/>
      <c r="G166" s="220"/>
      <c r="H166" s="220"/>
      <c r="I166" s="220"/>
      <c r="J166" s="220"/>
      <c r="K166" s="220"/>
      <c r="L166" s="220"/>
      <c r="M166" s="139"/>
      <c r="N166" s="139"/>
      <c r="O166" s="139"/>
      <c r="P166" s="139"/>
      <c r="Q166" s="139"/>
      <c r="R166" s="117"/>
      <c r="S166" s="117"/>
      <c r="T166" s="117"/>
      <c r="V166" s="119"/>
      <c r="W166" s="119"/>
      <c r="X166" s="117"/>
      <c r="Y166" s="117"/>
      <c r="Z166" s="117"/>
      <c r="AA166" s="117"/>
      <c r="AB166" s="111"/>
      <c r="AC166" s="185"/>
    </row>
    <row r="167" spans="1:46" outlineLevel="1" x14ac:dyDescent="0.15">
      <c r="A167" s="263" t="s">
        <v>114</v>
      </c>
      <c r="B167" s="140">
        <f>CHOOSE(IF($B$1=2,2,1),'GAAP-IFRS'!E33,IF('Broker Actual'!E33="-",'GAAP-IFRS'!E33,'Broker Actual'!E33))</f>
        <v>501.6</v>
      </c>
      <c r="C167" s="140">
        <f>CHOOSE(IF($B$1=2,2,1),'GAAP-IFRS'!F33,IF('Broker Actual'!F33="-",'GAAP-IFRS'!F33,'Broker Actual'!F33))</f>
        <v>511.9</v>
      </c>
      <c r="D167" s="140">
        <f>CHOOSE(IF($B$1=2,2,1),'GAAP-IFRS'!G33,IF('Broker Actual'!G33="-",'GAAP-IFRS'!G33,'Broker Actual'!G33))</f>
        <v>531.70000000000005</v>
      </c>
      <c r="E167" s="140">
        <f>CHOOSE(IF($B$1=2,2,1),'GAAP-IFRS'!H33,IF('Broker Actual'!H33="-",'GAAP-IFRS'!H33,'Broker Actual'!H33))</f>
        <v>523.9</v>
      </c>
      <c r="F167" s="140">
        <f>CHOOSE(IF($B$1=2,2,1),'GAAP-IFRS'!I33,IF('Broker Actual'!I33="-",'GAAP-IFRS'!I33,'Broker Actual'!I33))</f>
        <v>500.6</v>
      </c>
      <c r="G167" s="140">
        <f>CHOOSE(IF($B$1=2,2,1),'GAAP-IFRS'!J33,IF('Broker Actual'!J33="-",'GAAP-IFRS'!J33,'Broker Actual'!J33))</f>
        <v>504.8</v>
      </c>
      <c r="H167" s="140">
        <f>CHOOSE(IF($B$1=2,2,1),'GAAP-IFRS'!K33,IF('Broker Actual'!K33="-",'GAAP-IFRS'!K33,'Broker Actual'!K33))</f>
        <v>546.9</v>
      </c>
      <c r="I167" s="140">
        <f>CHOOSE(IF($B$1=2,2,1),'GAAP-IFRS'!L33,IF('Broker Actual'!L33="-",'GAAP-IFRS'!L33,'Broker Actual'!L33))</f>
        <v>642.70000000000005</v>
      </c>
      <c r="J167" s="140">
        <f>CHOOSE(IF($B$1=2,2,1),'GAAP-IFRS'!M33,IF('Broker Actual'!M33="-",'GAAP-IFRS'!M33,'Broker Actual'!M33))</f>
        <v>580.9</v>
      </c>
      <c r="K167" s="140">
        <f>CHOOSE(IF($B$1=2,2,1),'GAAP-IFRS'!N33,IF('Broker Actual'!N33="-",'GAAP-IFRS'!N33,'Broker Actual'!N33))</f>
        <v>511.8</v>
      </c>
      <c r="L167" s="140">
        <f>CHOOSE(IF($B$1=2,2,1),'GAAP-IFRS'!O33,IF('Broker Actual'!O33="-",'GAAP-IFRS'!O33,'Broker Actual'!O33))</f>
        <v>489.4</v>
      </c>
      <c r="M167" s="434">
        <f>AVERAGE(H167:L167)</f>
        <v>554.34</v>
      </c>
      <c r="N167" s="434">
        <f t="shared" ref="N167:Q167" si="275">AVERAGE(I167:M167)</f>
        <v>555.82799999999997</v>
      </c>
      <c r="O167" s="434">
        <f t="shared" si="275"/>
        <v>538.45360000000005</v>
      </c>
      <c r="P167" s="434">
        <f t="shared" si="275"/>
        <v>529.96432000000004</v>
      </c>
      <c r="Q167" s="434">
        <f t="shared" si="275"/>
        <v>533.59718399999997</v>
      </c>
      <c r="R167" s="117"/>
      <c r="S167" s="117"/>
      <c r="T167" s="117"/>
      <c r="U167" s="118"/>
      <c r="V167" s="119"/>
      <c r="W167" s="119"/>
      <c r="X167" s="117"/>
      <c r="Y167" s="117"/>
      <c r="Z167" s="117"/>
      <c r="AB167" s="117"/>
      <c r="AC167" s="120"/>
    </row>
    <row r="168" spans="1:46" outlineLevel="1" x14ac:dyDescent="0.15">
      <c r="A168" s="263" t="s">
        <v>282</v>
      </c>
      <c r="B168" s="140"/>
      <c r="C168" s="140">
        <f>CHOOSE(IF($B$1=2,2,1),'GAAP-IFRS'!F34,IF('Broker Actual'!F34="-",'GAAP-IFRS'!F34,'Broker Actual'!F34))</f>
        <v>200.9</v>
      </c>
      <c r="D168" s="140">
        <f>CHOOSE(IF($B$1=2,2,1),'GAAP-IFRS'!G34,IF('Broker Actual'!G34="-",'GAAP-IFRS'!G34,'Broker Actual'!G34))</f>
        <v>198.7</v>
      </c>
      <c r="E168" s="140">
        <f>CHOOSE(IF($B$1=2,2,1),'GAAP-IFRS'!H34,IF('Broker Actual'!H34="-",'GAAP-IFRS'!H34,'Broker Actual'!H34))</f>
        <v>230.9</v>
      </c>
      <c r="F168" s="140">
        <f>CHOOSE(IF($B$1=2,2,1),'GAAP-IFRS'!I34,IF('Broker Actual'!I34="-",'GAAP-IFRS'!I34,'Broker Actual'!I34))</f>
        <v>335.1</v>
      </c>
      <c r="G168" s="140">
        <f>CHOOSE(IF($B$1=2,2,1),'GAAP-IFRS'!J34,IF('Broker Actual'!J34="-",'GAAP-IFRS'!J34,'Broker Actual'!J34))</f>
        <v>338.6</v>
      </c>
      <c r="H168" s="140">
        <f>CHOOSE(IF($B$1=2,2,1),'GAAP-IFRS'!K34,IF('Broker Actual'!K34="-",'GAAP-IFRS'!K34,'Broker Actual'!K34))</f>
        <v>350.3</v>
      </c>
      <c r="I168" s="140">
        <f>CHOOSE(IF($B$1=2,2,1),'GAAP-IFRS'!L34,IF('Broker Actual'!L34="-",'GAAP-IFRS'!L34,'Broker Actual'!L34))</f>
        <v>351.7</v>
      </c>
      <c r="J168" s="140">
        <f>CHOOSE(IF($B$1=2,2,1),'GAAP-IFRS'!M34,IF('Broker Actual'!M34="-",'GAAP-IFRS'!M34,'Broker Actual'!M34))</f>
        <v>353</v>
      </c>
      <c r="K168" s="140">
        <f>CHOOSE(IF($B$1=2,2,1),'GAAP-IFRS'!N34,IF('Broker Actual'!N34="-",'GAAP-IFRS'!N34,'Broker Actual'!N34))</f>
        <v>352.2</v>
      </c>
      <c r="L168" s="140">
        <f>CHOOSE(IF($B$1=2,2,1),'GAAP-IFRS'!O34,IF('Broker Actual'!O34="-",'GAAP-IFRS'!O34,'Broker Actual'!O34))</f>
        <v>347.6</v>
      </c>
      <c r="M168" s="434">
        <f>AVERAGE(H168:L168)</f>
        <v>350.96000000000004</v>
      </c>
      <c r="N168" s="434">
        <f t="shared" ref="N168" si="276">AVERAGE(I168:M168)</f>
        <v>351.09199999999998</v>
      </c>
      <c r="O168" s="434">
        <f t="shared" ref="O168" si="277">AVERAGE(J168:N168)</f>
        <v>350.97040000000004</v>
      </c>
      <c r="P168" s="434">
        <f t="shared" ref="P168" si="278">AVERAGE(K168:O168)</f>
        <v>350.56448</v>
      </c>
      <c r="Q168" s="434">
        <f t="shared" ref="Q168" si="279">AVERAGE(L168:P168)</f>
        <v>350.23737600000004</v>
      </c>
      <c r="R168" s="117"/>
      <c r="S168" s="117"/>
      <c r="T168" s="117"/>
      <c r="U168" s="118"/>
      <c r="V168" s="169"/>
      <c r="W168" s="169"/>
      <c r="X168" s="159"/>
      <c r="Y168" s="159"/>
      <c r="Z168" s="159"/>
      <c r="AA168" s="117"/>
      <c r="AB168" s="117"/>
      <c r="AC168" s="120"/>
    </row>
    <row r="169" spans="1:46" ht="15" outlineLevel="1" x14ac:dyDescent="0.15">
      <c r="A169" s="223" t="s">
        <v>280</v>
      </c>
      <c r="B169" s="262"/>
      <c r="C169" s="220">
        <v>698.09999999999991</v>
      </c>
      <c r="D169" s="220">
        <v>731.4</v>
      </c>
      <c r="E169" s="220">
        <v>637.4</v>
      </c>
      <c r="F169" s="220">
        <v>617.29999999999995</v>
      </c>
      <c r="G169" s="220">
        <v>628.70000000000005</v>
      </c>
      <c r="H169" s="220">
        <v>898.9</v>
      </c>
      <c r="I169" s="220">
        <v>884</v>
      </c>
      <c r="J169" s="220">
        <v>1825</v>
      </c>
      <c r="K169" s="220">
        <v>1825.6</v>
      </c>
      <c r="L169" s="220">
        <v>2252.6</v>
      </c>
      <c r="M169" s="434">
        <v>2442.52</v>
      </c>
      <c r="N169" s="434">
        <v>2571.8040000000001</v>
      </c>
      <c r="O169" s="434">
        <v>2710.4848000000002</v>
      </c>
      <c r="P169" s="434">
        <v>2700.8017599999998</v>
      </c>
      <c r="Q169" s="434">
        <v>2703.0421120000001</v>
      </c>
      <c r="R169" s="117"/>
      <c r="S169" s="117"/>
      <c r="T169" s="117"/>
      <c r="AA169" s="145"/>
      <c r="AB169" s="111"/>
      <c r="AC169" s="185"/>
    </row>
    <row r="170" spans="1:46" outlineLevel="1" x14ac:dyDescent="0.15">
      <c r="A170" s="128" t="s">
        <v>74</v>
      </c>
      <c r="B170" s="159"/>
      <c r="C170" s="138"/>
      <c r="D170" s="138">
        <f t="shared" ref="D170" si="280">D169/C169-1</f>
        <v>4.7700902449505866E-2</v>
      </c>
      <c r="E170" s="138">
        <f t="shared" ref="E170" si="281">E169/D169-1</f>
        <v>-0.12852064533770846</v>
      </c>
      <c r="F170" s="138">
        <f t="shared" ref="F170" si="282">F169/E169-1</f>
        <v>-3.1534358330718604E-2</v>
      </c>
      <c r="G170" s="138">
        <f t="shared" ref="G170" si="283">G169/F169-1</f>
        <v>1.8467519844484137E-2</v>
      </c>
      <c r="H170" s="138">
        <f t="shared" ref="H170" si="284">H169/G169-1</f>
        <v>0.42977572769206285</v>
      </c>
      <c r="I170" s="138">
        <f t="shared" ref="I170" si="285">I169/H169-1</f>
        <v>-1.6575814884859263E-2</v>
      </c>
      <c r="J170" s="138">
        <f t="shared" ref="J170" si="286">J169/I169-1</f>
        <v>1.06447963800905</v>
      </c>
      <c r="K170" s="138">
        <f t="shared" ref="K170" si="287">K169/J169-1</f>
        <v>3.2876712328766544E-4</v>
      </c>
      <c r="L170" s="138">
        <f t="shared" ref="L170" si="288">L169/K169-1</f>
        <v>0.23389570552147232</v>
      </c>
      <c r="M170" s="138">
        <f t="shared" ref="M170" si="289">M169/L169-1</f>
        <v>8.4311462310219243E-2</v>
      </c>
      <c r="N170" s="138">
        <f t="shared" ref="N170" si="290">N169/M169-1</f>
        <v>5.2930579892897622E-2</v>
      </c>
      <c r="O170" s="138">
        <f t="shared" ref="O170" si="291">O169/N169-1</f>
        <v>5.3923549384012226E-2</v>
      </c>
      <c r="P170" s="138">
        <f t="shared" ref="P170" si="292">P169/O169-1</f>
        <v>-3.5724384065907167E-3</v>
      </c>
      <c r="Q170" s="138">
        <f t="shared" ref="Q170" si="293">Q169/P169-1</f>
        <v>8.2951367744965587E-4</v>
      </c>
      <c r="R170" s="111"/>
      <c r="S170" s="111"/>
      <c r="T170" s="111"/>
      <c r="AA170" s="145"/>
    </row>
    <row r="171" spans="1:46" outlineLevel="1" x14ac:dyDescent="0.15">
      <c r="A171" s="218"/>
      <c r="B171" s="182"/>
      <c r="C171" s="219"/>
      <c r="D171" s="219"/>
      <c r="E171" s="219"/>
      <c r="F171" s="219"/>
      <c r="G171" s="219"/>
      <c r="H171" s="219"/>
      <c r="I171" s="219"/>
      <c r="J171" s="219"/>
      <c r="K171" s="219"/>
      <c r="L171" s="219"/>
      <c r="M171" s="139"/>
      <c r="N171" s="139"/>
      <c r="O171" s="139"/>
      <c r="P171" s="139"/>
      <c r="Q171" s="139"/>
      <c r="R171" s="117"/>
      <c r="S171" s="117"/>
      <c r="T171" s="117"/>
      <c r="V171" s="119" t="s">
        <v>78</v>
      </c>
      <c r="W171" s="119" t="s">
        <v>122</v>
      </c>
      <c r="X171" s="117" t="str" cm="1">
        <f t="array" ref="X171">_xll.FDSC("--",$A$1,""&amp;$V171&amp;"("&amp;$W171&amp;","&amp;D$2&amp;",ANNUAL_ROLL,+1,0,,,'CURRENCY="&amp;$E$1&amp;"')")</f>
        <v>--</v>
      </c>
      <c r="Y171" s="117" t="str" cm="1">
        <f t="array" ref="Y171">_xll.FDSC("--",$A$1,""&amp;$V171&amp;"("&amp;$W171&amp;","&amp;D$2&amp;",ANNUAL_ROLL,+2,0,,,'CURRENCY="&amp;$E$1&amp;"')")</f>
        <v>--</v>
      </c>
      <c r="Z171" s="117" t="str" cm="1">
        <f t="array" ref="Z171">_xll.FDSC("--",$A$1,""&amp;$V171&amp;"("&amp;$W171&amp;","&amp;D$2&amp;",ANNUAL_ROLL,+3,0,,,'CURRENCY="&amp;$E$1&amp;"')")</f>
        <v>--</v>
      </c>
      <c r="AA171" s="117"/>
      <c r="AB171" s="111"/>
      <c r="AC171" s="185"/>
    </row>
    <row r="172" spans="1:46" s="92" customFormat="1" x14ac:dyDescent="0.15">
      <c r="A172" s="183" t="s">
        <v>113</v>
      </c>
      <c r="B172" s="140">
        <f>CHOOSE(IF($B$1=2,2,1),'GAAP-IFRS'!E32,IF('Broker Actual'!E32="-",'GAAP-IFRS'!E32,'Broker Actual'!E32))</f>
        <v>4841.8999999999996</v>
      </c>
      <c r="C172" s="140">
        <f>CHOOSE(IF($B$1=2,2,1),'GAAP-IFRS'!F32,IF('Broker Actual'!F32="-",'GAAP-IFRS'!F32,'Broker Actual'!F32))</f>
        <v>4330.3</v>
      </c>
      <c r="D172" s="140">
        <f>CHOOSE(IF($B$1=2,2,1),'GAAP-IFRS'!G32,IF('Broker Actual'!G32="-",'GAAP-IFRS'!G32,'Broker Actual'!G32))</f>
        <v>4883.3999999999996</v>
      </c>
      <c r="E172" s="140">
        <f>CHOOSE(IF($B$1=2,2,1),'GAAP-IFRS'!H32,IF('Broker Actual'!H32="-",'GAAP-IFRS'!H32,'Broker Actual'!H32))</f>
        <v>4354</v>
      </c>
      <c r="F172" s="140">
        <f>CHOOSE(IF($B$1=2,2,1),'GAAP-IFRS'!I32,IF('Broker Actual'!I32="-",'GAAP-IFRS'!I32,'Broker Actual'!I32))</f>
        <v>4551.8999999999996</v>
      </c>
      <c r="G172" s="140">
        <f>CHOOSE(IF($B$1=2,2,1),'GAAP-IFRS'!J32,IF('Broker Actual'!J32="-",'GAAP-IFRS'!J32,'Broker Actual'!J32))</f>
        <v>5241.2</v>
      </c>
      <c r="H172" s="140">
        <f>CHOOSE(IF($B$1=2,2,1),'GAAP-IFRS'!K32,IF('Broker Actual'!K32="-",'GAAP-IFRS'!K32,'Broker Actual'!K32))</f>
        <v>4447.6000000000004</v>
      </c>
      <c r="I172" s="140">
        <f>CHOOSE(IF($B$1=2,2,1),'GAAP-IFRS'!L32,IF('Broker Actual'!L32="-",'GAAP-IFRS'!L32,'Broker Actual'!L32))</f>
        <v>4510.3</v>
      </c>
      <c r="J172" s="140">
        <f>CHOOSE(IF($B$1=2,2,1),'GAAP-IFRS'!M32,IF('Broker Actual'!M32="-",'GAAP-IFRS'!M32,'Broker Actual'!M32))</f>
        <v>4768.8</v>
      </c>
      <c r="K172" s="140">
        <f>CHOOSE(IF($B$1=2,2,1),'GAAP-IFRS'!N32,IF('Broker Actual'!N32="-",'GAAP-IFRS'!N32,'Broker Actual'!N32))</f>
        <v>4370.5</v>
      </c>
      <c r="L172" s="140">
        <f>CHOOSE(IF($B$1=2,2,1),'GAAP-IFRS'!O32,IF('Broker Actual'!O32="-",'GAAP-IFRS'!O32,'Broker Actual'!O32))</f>
        <v>4741.8</v>
      </c>
      <c r="M172" s="302">
        <f>M173*M176</f>
        <v>5010.4492448399405</v>
      </c>
      <c r="N172" s="302">
        <f t="shared" ref="N172:O172" si="294">N173*N176</f>
        <v>4656.5708584070544</v>
      </c>
      <c r="O172" s="302">
        <f t="shared" si="294"/>
        <v>4832.2348466556195</v>
      </c>
      <c r="P172" s="302">
        <f t="shared" ref="P172:Q172" si="295">P173*P176</f>
        <v>5007.9243734491647</v>
      </c>
      <c r="Q172" s="302">
        <f t="shared" si="295"/>
        <v>5265.6198616675847</v>
      </c>
      <c r="R172" s="114"/>
      <c r="S172" s="114"/>
      <c r="T172" s="114"/>
      <c r="U172" s="187"/>
      <c r="V172" s="119"/>
      <c r="W172" s="119"/>
      <c r="X172" s="117"/>
      <c r="Y172" s="117"/>
      <c r="Z172" s="117"/>
      <c r="AA172" s="117"/>
      <c r="AB172" s="189"/>
      <c r="AC172" s="190"/>
      <c r="AJ172" s="78"/>
      <c r="AK172" s="78"/>
      <c r="AL172" s="78"/>
      <c r="AM172" s="78"/>
      <c r="AN172" s="78"/>
      <c r="AO172" s="78"/>
      <c r="AP172" s="78"/>
      <c r="AQ172" s="78"/>
      <c r="AR172" s="78"/>
      <c r="AS172" s="78"/>
      <c r="AT172" s="78"/>
    </row>
    <row r="173" spans="1:46" s="92" customFormat="1" x14ac:dyDescent="0.15">
      <c r="A173" s="184" t="s">
        <v>528</v>
      </c>
      <c r="B173" s="140"/>
      <c r="C173" s="300">
        <f>C172/C176</f>
        <v>7.3765744403220257E-2</v>
      </c>
      <c r="D173" s="300">
        <f t="shared" ref="D173:L173" si="296">D172/D176</f>
        <v>7.9078150276661791E-2</v>
      </c>
      <c r="E173" s="300">
        <f t="shared" si="296"/>
        <v>7.2735412824419324E-2</v>
      </c>
      <c r="F173" s="300">
        <f t="shared" si="296"/>
        <v>7.4318918760061511E-2</v>
      </c>
      <c r="G173" s="300">
        <f t="shared" si="296"/>
        <v>8.2769293937431904E-2</v>
      </c>
      <c r="H173" s="300">
        <f t="shared" si="296"/>
        <v>7.2691019040614535E-2</v>
      </c>
      <c r="I173" s="300">
        <f t="shared" si="296"/>
        <v>6.7896551205045994E-2</v>
      </c>
      <c r="J173" s="300">
        <f t="shared" si="296"/>
        <v>6.8031150985843961E-2</v>
      </c>
      <c r="K173" s="300">
        <f t="shared" si="296"/>
        <v>6.2828843334004195E-2</v>
      </c>
      <c r="L173" s="300">
        <f t="shared" si="296"/>
        <v>7.8284729376337278E-2</v>
      </c>
      <c r="M173" s="123">
        <v>0.08</v>
      </c>
      <c r="N173" s="123">
        <f t="shared" ref="N173:O173" si="297">AVERAGE(I173:M173)</f>
        <v>7.1408254980246291E-2</v>
      </c>
      <c r="O173" s="123">
        <f t="shared" si="297"/>
        <v>7.2110595735286345E-2</v>
      </c>
      <c r="P173" s="123">
        <f t="shared" ref="P173" si="298">AVERAGE(K173:O173)</f>
        <v>7.2926484685174819E-2</v>
      </c>
      <c r="Q173" s="123">
        <f t="shared" ref="Q173" si="299">AVERAGE(L173:P173)</f>
        <v>7.4946012955408953E-2</v>
      </c>
      <c r="R173" s="114"/>
      <c r="S173" s="114"/>
      <c r="T173" s="114"/>
      <c r="U173" s="187"/>
      <c r="V173" s="119"/>
      <c r="W173" s="119"/>
      <c r="X173" s="117"/>
      <c r="Y173" s="117"/>
      <c r="Z173" s="117"/>
      <c r="AA173" s="117"/>
      <c r="AB173" s="189"/>
      <c r="AC173" s="190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</row>
    <row r="174" spans="1:46" s="92" customFormat="1" x14ac:dyDescent="0.15">
      <c r="A174" s="183"/>
      <c r="B174" s="140"/>
      <c r="C174" s="140"/>
      <c r="D174" s="140"/>
      <c r="E174" s="140"/>
      <c r="F174" s="140"/>
      <c r="G174" s="140"/>
      <c r="H174" s="140"/>
      <c r="I174" s="140"/>
      <c r="J174" s="140"/>
      <c r="K174" s="140"/>
      <c r="L174" s="140"/>
      <c r="M174" s="75"/>
      <c r="N174" s="75"/>
      <c r="O174" s="75"/>
      <c r="P174" s="75"/>
      <c r="Q174" s="75"/>
      <c r="R174" s="114"/>
      <c r="S174" s="114"/>
      <c r="T174" s="114"/>
      <c r="U174" s="187"/>
      <c r="V174" s="147"/>
      <c r="W174" s="147"/>
      <c r="X174" s="145"/>
      <c r="Y174" s="145"/>
      <c r="Z174" s="145"/>
      <c r="AA174" s="117"/>
      <c r="AB174" s="189"/>
      <c r="AC174" s="190"/>
      <c r="AJ174" s="78"/>
      <c r="AK174" s="78"/>
      <c r="AL174" s="78"/>
      <c r="AM174" s="78"/>
      <c r="AN174" s="78"/>
      <c r="AO174" s="78"/>
      <c r="AP174" s="78"/>
      <c r="AQ174" s="78"/>
      <c r="AR174" s="78"/>
      <c r="AS174" s="78"/>
      <c r="AT174" s="78"/>
    </row>
    <row r="175" spans="1:46" outlineLevel="1" x14ac:dyDescent="0.15">
      <c r="A175" s="218"/>
      <c r="B175" s="182"/>
      <c r="C175" s="219"/>
      <c r="D175" s="219"/>
      <c r="E175" s="219"/>
      <c r="F175" s="219"/>
      <c r="G175" s="219"/>
      <c r="H175" s="219"/>
      <c r="I175" s="219"/>
      <c r="J175" s="219"/>
      <c r="K175" s="219"/>
      <c r="L175" s="219"/>
      <c r="R175" s="117"/>
      <c r="S175" s="117"/>
      <c r="T175" s="117"/>
      <c r="V175" s="147"/>
      <c r="W175" s="147"/>
      <c r="X175" s="145"/>
      <c r="Y175" s="145"/>
      <c r="Z175" s="145"/>
      <c r="AA175" s="117"/>
      <c r="AB175" s="111"/>
      <c r="AC175" s="185"/>
    </row>
    <row r="176" spans="1:46" x14ac:dyDescent="0.15">
      <c r="A176" s="78" t="s">
        <v>283</v>
      </c>
      <c r="B176" s="138"/>
      <c r="C176" s="139">
        <f t="shared" ref="C176" si="300">C169+C168+C167+C164+C151+C155+C153+C158</f>
        <v>58703.4</v>
      </c>
      <c r="D176" s="139">
        <f>D169+D168+D167+D164+D151+D155+D153+D158</f>
        <v>61754.1</v>
      </c>
      <c r="E176" s="139">
        <f t="shared" ref="E176:K176" si="301">E169+E168+E167+E164+E151+E155+E153+E158</f>
        <v>59860.799999999996</v>
      </c>
      <c r="F176" s="139">
        <f t="shared" si="301"/>
        <v>61248.200000000004</v>
      </c>
      <c r="G176" s="139">
        <f t="shared" si="301"/>
        <v>63322.999999999993</v>
      </c>
      <c r="H176" s="139">
        <f t="shared" si="301"/>
        <v>61185</v>
      </c>
      <c r="I176" s="139">
        <f t="shared" si="301"/>
        <v>66429</v>
      </c>
      <c r="J176" s="139">
        <f t="shared" si="301"/>
        <v>70097.3</v>
      </c>
      <c r="K176" s="139">
        <f t="shared" si="301"/>
        <v>69562</v>
      </c>
      <c r="L176" s="139">
        <f t="shared" ref="L176:Q176" si="302">L169+L168+L167+L164+L151+L155+L153+L158</f>
        <v>60571.199999999997</v>
      </c>
      <c r="M176" s="139">
        <f t="shared" si="302"/>
        <v>62630.61556049926</v>
      </c>
      <c r="N176" s="139">
        <f t="shared" si="302"/>
        <v>65210.539869587963</v>
      </c>
      <c r="O176" s="139">
        <f t="shared" si="302"/>
        <v>67011.43982216515</v>
      </c>
      <c r="P176" s="139">
        <f t="shared" si="302"/>
        <v>68670.859360196511</v>
      </c>
      <c r="Q176" s="139">
        <f t="shared" si="302"/>
        <v>70258.839049923845</v>
      </c>
      <c r="V176" s="147"/>
      <c r="W176" s="147"/>
      <c r="X176" s="145"/>
      <c r="Y176" s="145"/>
      <c r="Z176" s="145"/>
      <c r="AA176" s="145"/>
    </row>
    <row r="177" spans="1:29" outlineLevel="1" x14ac:dyDescent="0.15">
      <c r="A177" s="128" t="s">
        <v>74</v>
      </c>
      <c r="B177" s="159"/>
      <c r="C177" s="138"/>
      <c r="D177" s="138">
        <f t="shared" ref="D177" si="303">D176/C176-1</f>
        <v>5.1968029109046521E-2</v>
      </c>
      <c r="E177" s="138">
        <f t="shared" ref="E177" si="304">E176/D176-1</f>
        <v>-3.065869310701641E-2</v>
      </c>
      <c r="F177" s="138">
        <f t="shared" ref="F177" si="305">F176/E176-1</f>
        <v>2.3177104215112543E-2</v>
      </c>
      <c r="G177" s="138">
        <f t="shared" ref="G177" si="306">G176/F176-1</f>
        <v>3.3875281232754295E-2</v>
      </c>
      <c r="H177" s="138">
        <f t="shared" ref="H177" si="307">H176/G176-1</f>
        <v>-3.3763403502676592E-2</v>
      </c>
      <c r="I177" s="138">
        <f t="shared" ref="I177" si="308">I176/H176-1</f>
        <v>8.5707281196371721E-2</v>
      </c>
      <c r="J177" s="138">
        <f t="shared" ref="J177" si="309">J176/I176-1</f>
        <v>5.5221364163241971E-2</v>
      </c>
      <c r="K177" s="138">
        <f t="shared" ref="K177" si="310">K176/J176-1</f>
        <v>-7.6365280831073301E-3</v>
      </c>
      <c r="L177" s="138">
        <f t="shared" ref="L177" si="311">L176/K176-1</f>
        <v>-0.1292487277536587</v>
      </c>
      <c r="M177" s="138">
        <f t="shared" ref="M177" si="312">M176/L176-1</f>
        <v>3.3999913498482082E-2</v>
      </c>
      <c r="N177" s="138">
        <f t="shared" ref="N177" si="313">N176/M176-1</f>
        <v>4.1192702418780813E-2</v>
      </c>
      <c r="O177" s="138">
        <f t="shared" ref="O177" si="314">O176/N176-1</f>
        <v>2.7616700554522922E-2</v>
      </c>
      <c r="P177" s="138">
        <f t="shared" ref="P177" si="315">P176/O176-1</f>
        <v>2.4763227628523232E-2</v>
      </c>
      <c r="Q177" s="138">
        <f t="shared" ref="Q177" si="316">Q176/P176-1</f>
        <v>2.3124505860600442E-2</v>
      </c>
      <c r="R177" s="111"/>
      <c r="S177" s="111"/>
      <c r="T177" s="111"/>
      <c r="V177" s="119"/>
      <c r="W177" s="119"/>
      <c r="X177" s="117"/>
      <c r="Y177" s="117"/>
      <c r="Z177" s="117"/>
      <c r="AA177" s="145"/>
    </row>
    <row r="178" spans="1:29" x14ac:dyDescent="0.15">
      <c r="B178" s="138"/>
      <c r="C178" s="220"/>
      <c r="D178" s="220"/>
      <c r="E178" s="220"/>
      <c r="F178" s="220"/>
      <c r="G178" s="220"/>
      <c r="H178" s="220"/>
      <c r="I178" s="220"/>
      <c r="J178" s="220"/>
      <c r="K178" s="220"/>
      <c r="L178" s="220"/>
      <c r="V178" s="119"/>
      <c r="W178" s="119"/>
      <c r="X178" s="117"/>
      <c r="Y178" s="117"/>
      <c r="Z178" s="117"/>
      <c r="AA178" s="111"/>
    </row>
    <row r="179" spans="1:29" outlineLevel="2" x14ac:dyDescent="0.15">
      <c r="A179" s="125" t="s">
        <v>284</v>
      </c>
      <c r="B179" s="133">
        <f>B172-B169</f>
        <v>4841.8999999999996</v>
      </c>
      <c r="C179" s="134">
        <f t="shared" ref="C179:L179" si="317">C176-C182</f>
        <v>0</v>
      </c>
      <c r="D179" s="134">
        <f t="shared" si="317"/>
        <v>0</v>
      </c>
      <c r="E179" s="134">
        <f t="shared" si="317"/>
        <v>0</v>
      </c>
      <c r="F179" s="134">
        <f t="shared" si="317"/>
        <v>0</v>
      </c>
      <c r="G179" s="134">
        <f t="shared" si="317"/>
        <v>0</v>
      </c>
      <c r="H179" s="134">
        <f t="shared" si="317"/>
        <v>0</v>
      </c>
      <c r="I179" s="134">
        <f t="shared" si="317"/>
        <v>0</v>
      </c>
      <c r="J179" s="134">
        <f t="shared" si="317"/>
        <v>0</v>
      </c>
      <c r="K179" s="134">
        <f t="shared" si="317"/>
        <v>0</v>
      </c>
      <c r="L179" s="134">
        <f t="shared" si="317"/>
        <v>0</v>
      </c>
      <c r="P179" s="117"/>
      <c r="Q179" s="117"/>
      <c r="R179" s="117"/>
      <c r="S179" s="117"/>
      <c r="T179" s="117"/>
      <c r="U179" s="118"/>
      <c r="V179" s="119"/>
      <c r="W179" s="119"/>
      <c r="X179" s="117"/>
      <c r="Y179" s="117"/>
      <c r="Z179" s="117"/>
      <c r="AA179" s="111"/>
      <c r="AB179" s="117"/>
      <c r="AC179" s="120"/>
    </row>
    <row r="180" spans="1:29" outlineLevel="2" x14ac:dyDescent="0.15">
      <c r="A180" s="128" t="s">
        <v>285</v>
      </c>
      <c r="B180" s="135" t="e">
        <f>B179/B$37</f>
        <v>#REF!</v>
      </c>
      <c r="C180" s="136">
        <f t="shared" ref="C180:L180" si="318">C179/C176</f>
        <v>0</v>
      </c>
      <c r="D180" s="136">
        <f t="shared" si="318"/>
        <v>0</v>
      </c>
      <c r="E180" s="136">
        <f t="shared" si="318"/>
        <v>0</v>
      </c>
      <c r="F180" s="136">
        <f t="shared" si="318"/>
        <v>0</v>
      </c>
      <c r="G180" s="136">
        <f t="shared" si="318"/>
        <v>0</v>
      </c>
      <c r="H180" s="136">
        <f t="shared" si="318"/>
        <v>0</v>
      </c>
      <c r="I180" s="136">
        <f t="shared" si="318"/>
        <v>0</v>
      </c>
      <c r="J180" s="136">
        <f t="shared" si="318"/>
        <v>0</v>
      </c>
      <c r="K180" s="136">
        <f t="shared" si="318"/>
        <v>0</v>
      </c>
      <c r="L180" s="136">
        <f t="shared" si="318"/>
        <v>0</v>
      </c>
      <c r="P180" s="117"/>
      <c r="Q180" s="117"/>
      <c r="R180" s="117"/>
      <c r="S180" s="117"/>
      <c r="T180" s="117"/>
      <c r="U180" s="118"/>
      <c r="V180" s="119"/>
      <c r="W180" s="119"/>
      <c r="X180" s="117"/>
      <c r="Y180" s="117"/>
      <c r="Z180" s="117"/>
      <c r="AA180" s="111"/>
      <c r="AB180" s="117"/>
      <c r="AC180" s="120"/>
    </row>
    <row r="181" spans="1:29" ht="13.25" customHeight="1" outlineLevel="1" x14ac:dyDescent="0.15">
      <c r="P181" s="117"/>
      <c r="Q181" s="117"/>
      <c r="R181" s="117"/>
      <c r="S181" s="117"/>
      <c r="T181" s="117"/>
      <c r="U181" s="118"/>
      <c r="V181" s="147"/>
      <c r="W181" s="147"/>
      <c r="X181" s="145"/>
      <c r="Y181" s="145"/>
      <c r="Z181" s="145"/>
      <c r="AA181" s="111"/>
      <c r="AB181" s="117"/>
      <c r="AC181" s="120"/>
    </row>
    <row r="182" spans="1:29" outlineLevel="1" x14ac:dyDescent="0.15">
      <c r="A182" s="186" t="s">
        <v>116</v>
      </c>
      <c r="B182" s="140">
        <f>CHOOSE(IF($B$1=2,2,1),'GAAP-IFRS'!E35,IF('Broker Actual'!E35="-",'GAAP-IFRS'!E35,'Broker Actual'!E35))</f>
        <v>58082.8</v>
      </c>
      <c r="C182" s="140">
        <f>CHOOSE(IF($B$1=2,2,1),'GAAP-IFRS'!F35,IF('Broker Actual'!F35="-",'GAAP-IFRS'!F35,'Broker Actual'!F35))</f>
        <v>58703.4</v>
      </c>
      <c r="D182" s="140">
        <f>CHOOSE(IF($B$1=2,2,1),'GAAP-IFRS'!G35,IF('Broker Actual'!G35="-",'GAAP-IFRS'!G35,'Broker Actual'!G35))</f>
        <v>61754.1</v>
      </c>
      <c r="E182" s="140">
        <f>CHOOSE(IF($B$1=2,2,1),'GAAP-IFRS'!H35,IF('Broker Actual'!H35="-",'GAAP-IFRS'!H35,'Broker Actual'!H35))</f>
        <v>59860.799999999996</v>
      </c>
      <c r="F182" s="140">
        <f>CHOOSE(IF($B$1=2,2,1),'GAAP-IFRS'!I35,IF('Broker Actual'!I35="-",'GAAP-IFRS'!I35,'Broker Actual'!I35))</f>
        <v>61248.200000000004</v>
      </c>
      <c r="G182" s="140">
        <f>CHOOSE(IF($B$1=2,2,1),'GAAP-IFRS'!J35,IF('Broker Actual'!J35="-",'GAAP-IFRS'!J35,'Broker Actual'!J35))</f>
        <v>63322.999999999993</v>
      </c>
      <c r="H182" s="140">
        <f>CHOOSE(IF($B$1=2,2,1),'GAAP-IFRS'!K35,IF('Broker Actual'!K35="-",'GAAP-IFRS'!K35,'Broker Actual'!K35))</f>
        <v>61185</v>
      </c>
      <c r="I182" s="140">
        <f>CHOOSE(IF($B$1=2,2,1),'GAAP-IFRS'!L35,IF('Broker Actual'!L35="-",'GAAP-IFRS'!L35,'Broker Actual'!L35))</f>
        <v>66429</v>
      </c>
      <c r="J182" s="140">
        <f>CHOOSE(IF($B$1=2,2,1),'GAAP-IFRS'!M35,IF('Broker Actual'!M35="-",'GAAP-IFRS'!M35,'Broker Actual'!M35))</f>
        <v>70097.3</v>
      </c>
      <c r="K182" s="140">
        <f>CHOOSE(IF($B$1=2,2,1),'GAAP-IFRS'!N35,IF('Broker Actual'!N35="-",'GAAP-IFRS'!N35,'Broker Actual'!N35))</f>
        <v>69562</v>
      </c>
      <c r="L182" s="140">
        <f>CHOOSE(IF($B$1=2,2,1),'GAAP-IFRS'!O35,IF('Broker Actual'!O35="-",'GAAP-IFRS'!O35,'Broker Actual'!O35))</f>
        <v>60571.199999999997</v>
      </c>
      <c r="P182" s="117"/>
      <c r="Q182" s="117"/>
      <c r="R182" s="117"/>
      <c r="S182" s="117"/>
      <c r="T182" s="117"/>
      <c r="U182" s="118"/>
      <c r="V182" s="119"/>
      <c r="W182" s="119"/>
      <c r="X182" s="117"/>
      <c r="Y182" s="117"/>
      <c r="Z182" s="117"/>
      <c r="AA182" s="111"/>
      <c r="AB182" s="117"/>
      <c r="AC182" s="120"/>
    </row>
    <row r="183" spans="1:29" outlineLevel="1" x14ac:dyDescent="0.15">
      <c r="A183" s="186"/>
      <c r="B183" s="140"/>
      <c r="C183" s="140"/>
      <c r="D183" s="140"/>
      <c r="E183" s="140"/>
      <c r="F183" s="140"/>
      <c r="G183" s="140"/>
      <c r="H183" s="140"/>
      <c r="I183" s="140"/>
      <c r="J183" s="140"/>
      <c r="K183" s="140"/>
      <c r="L183" s="140"/>
      <c r="P183" s="117"/>
      <c r="Q183" s="117"/>
      <c r="R183" s="117"/>
      <c r="S183" s="117"/>
      <c r="T183" s="117"/>
      <c r="U183" s="118"/>
      <c r="V183" s="119" t="s">
        <v>78</v>
      </c>
      <c r="W183" s="119" t="s">
        <v>126</v>
      </c>
      <c r="X183" s="117" cm="1">
        <f t="array" ref="X183">_xll.FDSC("--",$A$1,""&amp;$V183&amp;"("&amp;$W183&amp;","&amp;D$2&amp;",ANNUAL_ROLL,+1,0,,,'CURRENCY="&amp;$E$1&amp;"')")</f>
        <v>10837.2</v>
      </c>
      <c r="Y183" s="117" cm="1">
        <f t="array" ref="Y183">_xll.FDSC("--",$A$1,""&amp;$V183&amp;"("&amp;$W183&amp;","&amp;D$2&amp;",ANNUAL_ROLL,+2,0,,,'CURRENCY="&amp;$E$1&amp;"')")</f>
        <v>11071.2</v>
      </c>
      <c r="Z183" s="117" cm="1">
        <f t="array" ref="Z183">_xll.FDSC("--",$A$1,""&amp;$V183&amp;"("&amp;$W183&amp;","&amp;D$2&amp;",ANNUAL_ROLL,+3,0,,,'CURRENCY="&amp;$E$1&amp;"')")</f>
        <v>11566</v>
      </c>
      <c r="AA183" s="111"/>
      <c r="AB183" s="117"/>
      <c r="AC183" s="120"/>
    </row>
    <row r="184" spans="1:29" ht="15" outlineLevel="1" x14ac:dyDescent="0.15">
      <c r="A184" s="223" t="s">
        <v>286</v>
      </c>
      <c r="B184" s="140"/>
      <c r="C184" s="265">
        <v>1511</v>
      </c>
      <c r="D184" s="255">
        <v>1529.3</v>
      </c>
      <c r="E184" s="255">
        <v>1484.6</v>
      </c>
      <c r="F184" s="255">
        <v>1507.9</v>
      </c>
      <c r="G184" s="255">
        <v>1605.2</v>
      </c>
      <c r="H184" s="255">
        <v>1695.7</v>
      </c>
      <c r="I184" s="255">
        <v>1745.5</v>
      </c>
      <c r="J184" s="255">
        <v>1855.4</v>
      </c>
      <c r="K184" s="255">
        <v>1907.7</v>
      </c>
      <c r="L184" s="255">
        <v>5740.2</v>
      </c>
      <c r="M184" s="139">
        <f>M11*M185</f>
        <v>4013.8447999999999</v>
      </c>
      <c r="N184" s="139">
        <f>N11*N185</f>
        <v>3815.8036839999995</v>
      </c>
      <c r="O184" s="139">
        <f>O11*O185</f>
        <v>3573.3085692160003</v>
      </c>
      <c r="P184" s="139">
        <f>P11*P185</f>
        <v>3493.3317731922798</v>
      </c>
      <c r="Q184" s="139">
        <f>Q11*Q185</f>
        <v>3388.4995207163643</v>
      </c>
      <c r="R184" s="117"/>
      <c r="S184" s="117"/>
      <c r="T184" s="117"/>
      <c r="U184" s="118"/>
      <c r="V184" s="147"/>
      <c r="W184" s="147"/>
      <c r="X184" s="145"/>
      <c r="Y184" s="145"/>
      <c r="Z184" s="145"/>
      <c r="AA184" s="111"/>
      <c r="AB184" s="117"/>
      <c r="AC184" s="120"/>
    </row>
    <row r="185" spans="1:29" ht="15" outlineLevel="1" x14ac:dyDescent="0.15">
      <c r="A185" s="223" t="s">
        <v>529</v>
      </c>
      <c r="B185" s="262"/>
      <c r="C185" s="301">
        <f t="shared" ref="C185:L185" si="319">C184/C11</f>
        <v>0.1981717313468071</v>
      </c>
      <c r="D185" s="301">
        <f t="shared" si="319"/>
        <v>0.1961345098240394</v>
      </c>
      <c r="E185" s="301">
        <f t="shared" si="319"/>
        <v>0.18368306443630605</v>
      </c>
      <c r="F185" s="301">
        <f t="shared" si="319"/>
        <v>0.18042045060243847</v>
      </c>
      <c r="G185" s="301">
        <f t="shared" si="319"/>
        <v>0.1867141245303649</v>
      </c>
      <c r="H185" s="301">
        <f t="shared" si="319"/>
        <v>0.18870255171876565</v>
      </c>
      <c r="I185" s="301">
        <f t="shared" si="319"/>
        <v>0.18637353719996583</v>
      </c>
      <c r="J185" s="301">
        <f t="shared" si="319"/>
        <v>0.19784391294611914</v>
      </c>
      <c r="K185" s="301">
        <f t="shared" si="319"/>
        <v>0.20121295222022995</v>
      </c>
      <c r="L185" s="301">
        <f t="shared" si="319"/>
        <v>0.59648357129496854</v>
      </c>
      <c r="M185" s="123">
        <v>0.4</v>
      </c>
      <c r="N185" s="123">
        <v>0.35</v>
      </c>
      <c r="O185" s="123">
        <v>0.32</v>
      </c>
      <c r="P185" s="123">
        <v>0.31</v>
      </c>
      <c r="Q185" s="123">
        <v>0.3</v>
      </c>
      <c r="R185" s="117"/>
      <c r="S185" s="117"/>
      <c r="T185" s="117"/>
      <c r="V185" s="192"/>
      <c r="W185" s="192"/>
      <c r="X185" s="111"/>
      <c r="Y185" s="111"/>
      <c r="Z185" s="111"/>
      <c r="AA185" s="111"/>
      <c r="AB185" s="111"/>
      <c r="AC185" s="185"/>
    </row>
    <row r="186" spans="1:29" outlineLevel="1" x14ac:dyDescent="0.15">
      <c r="A186" s="223"/>
      <c r="B186" s="140"/>
      <c r="C186" s="265"/>
      <c r="D186" s="255"/>
      <c r="E186" s="255"/>
      <c r="F186" s="255"/>
      <c r="G186" s="255"/>
      <c r="H186" s="255"/>
      <c r="I186" s="255"/>
      <c r="J186" s="255"/>
      <c r="K186" s="255"/>
      <c r="L186" s="255"/>
      <c r="M186" s="123"/>
      <c r="N186" s="123"/>
      <c r="O186" s="123"/>
      <c r="P186" s="117"/>
      <c r="Q186" s="117"/>
      <c r="R186" s="117"/>
      <c r="S186" s="117"/>
      <c r="T186" s="117"/>
      <c r="U186" s="118"/>
      <c r="V186" s="169"/>
      <c r="W186" s="169"/>
      <c r="X186" s="159"/>
      <c r="Y186" s="159"/>
      <c r="Z186" s="159"/>
      <c r="AA186" s="111"/>
      <c r="AB186" s="117"/>
      <c r="AC186" s="120"/>
    </row>
    <row r="187" spans="1:29" ht="15" outlineLevel="1" x14ac:dyDescent="0.15">
      <c r="A187" s="223" t="s">
        <v>287</v>
      </c>
      <c r="B187" s="140"/>
      <c r="C187" s="255">
        <v>43099.1</v>
      </c>
      <c r="D187" s="255">
        <v>45929.4</v>
      </c>
      <c r="E187" s="255">
        <v>43540.6</v>
      </c>
      <c r="F187" s="255">
        <v>44245.9</v>
      </c>
      <c r="G187" s="255">
        <v>45601.599999999999</v>
      </c>
      <c r="H187" s="255">
        <v>44841.9</v>
      </c>
      <c r="I187" s="255">
        <v>47780.1</v>
      </c>
      <c r="J187" s="255">
        <v>49653</v>
      </c>
      <c r="K187" s="255">
        <v>48007.5</v>
      </c>
      <c r="L187" s="255">
        <v>38577.1</v>
      </c>
      <c r="M187" s="139">
        <f>M188*M11</f>
        <v>40138.447999999997</v>
      </c>
      <c r="N187" s="139">
        <f>N188*N11</f>
        <v>43718.207922399997</v>
      </c>
      <c r="O187" s="139">
        <f>O188*O11</f>
        <v>44778.023007987998</v>
      </c>
      <c r="P187" s="139">
        <f>P188*P11</f>
        <v>45187.936808067876</v>
      </c>
      <c r="Q187" s="139">
        <f>Q188*Q11</f>
        <v>45292.943593575401</v>
      </c>
      <c r="R187" s="117"/>
      <c r="S187" s="117"/>
      <c r="T187" s="117"/>
      <c r="U187" s="118"/>
      <c r="V187" s="192"/>
      <c r="W187" s="192"/>
      <c r="X187" s="111"/>
      <c r="Y187" s="111"/>
      <c r="Z187" s="111"/>
      <c r="AA187" s="111"/>
      <c r="AB187" s="117"/>
      <c r="AC187" s="120"/>
    </row>
    <row r="188" spans="1:29" ht="15" outlineLevel="1" x14ac:dyDescent="0.15">
      <c r="A188" s="497" t="s">
        <v>529</v>
      </c>
      <c r="B188" s="140"/>
      <c r="C188" s="303">
        <f t="shared" ref="C188:L188" si="320">C187/C11</f>
        <v>5.6525633795428014</v>
      </c>
      <c r="D188" s="303">
        <f t="shared" si="320"/>
        <v>5.8904991535422973</v>
      </c>
      <c r="E188" s="303">
        <f t="shared" si="320"/>
        <v>5.387087993665248</v>
      </c>
      <c r="F188" s="303">
        <f t="shared" si="320"/>
        <v>5.2940282613637724</v>
      </c>
      <c r="G188" s="303">
        <f t="shared" si="320"/>
        <v>5.3043002873061846</v>
      </c>
      <c r="H188" s="303">
        <f t="shared" si="320"/>
        <v>4.9901403278396632</v>
      </c>
      <c r="I188" s="303">
        <f t="shared" si="320"/>
        <v>5.1016592636883908</v>
      </c>
      <c r="J188" s="303">
        <f t="shared" si="320"/>
        <v>5.2945692624305565</v>
      </c>
      <c r="K188" s="303">
        <f t="shared" si="320"/>
        <v>5.0635481489294376</v>
      </c>
      <c r="L188" s="303">
        <f t="shared" si="320"/>
        <v>4.0086767670469898</v>
      </c>
      <c r="M188" s="299">
        <v>4</v>
      </c>
      <c r="N188" s="299">
        <v>4.01</v>
      </c>
      <c r="O188" s="299">
        <f>N188</f>
        <v>4.01</v>
      </c>
      <c r="P188" s="299">
        <f t="shared" ref="P188:Q188" si="321">O188</f>
        <v>4.01</v>
      </c>
      <c r="Q188" s="299">
        <f t="shared" si="321"/>
        <v>4.01</v>
      </c>
      <c r="R188" s="117"/>
      <c r="S188" s="117"/>
      <c r="T188" s="117"/>
      <c r="U188" s="118"/>
      <c r="V188" s="192"/>
      <c r="W188" s="192"/>
      <c r="X188" s="111"/>
      <c r="Y188" s="111"/>
      <c r="Z188" s="111"/>
      <c r="AA188" s="111"/>
      <c r="AB188" s="117"/>
      <c r="AC188" s="120"/>
    </row>
    <row r="189" spans="1:29" outlineLevel="1" x14ac:dyDescent="0.15">
      <c r="A189" s="223"/>
      <c r="B189" s="140"/>
      <c r="C189" s="255"/>
      <c r="D189" s="255"/>
      <c r="E189" s="255"/>
      <c r="F189" s="255"/>
      <c r="G189" s="255"/>
      <c r="H189" s="255"/>
      <c r="I189" s="255"/>
      <c r="J189" s="255"/>
      <c r="K189" s="255"/>
      <c r="L189" s="255"/>
      <c r="P189" s="117"/>
      <c r="Q189" s="117"/>
      <c r="R189" s="117"/>
      <c r="S189" s="117"/>
      <c r="T189" s="117"/>
      <c r="U189" s="118"/>
      <c r="V189" s="192"/>
      <c r="W189" s="192"/>
      <c r="X189" s="111"/>
      <c r="Y189" s="111"/>
      <c r="Z189" s="111"/>
      <c r="AA189" s="111"/>
      <c r="AB189" s="117"/>
      <c r="AC189" s="120"/>
    </row>
    <row r="190" spans="1:29" ht="15" outlineLevel="1" x14ac:dyDescent="0.15">
      <c r="A190" s="223" t="s">
        <v>288</v>
      </c>
      <c r="B190" s="140"/>
      <c r="C190" s="255">
        <v>413.8</v>
      </c>
      <c r="D190" s="255">
        <v>396.6</v>
      </c>
      <c r="E190" s="255">
        <v>384.2</v>
      </c>
      <c r="F190" s="255">
        <v>363.7</v>
      </c>
      <c r="G190" s="255">
        <v>373.1</v>
      </c>
      <c r="H190" s="255">
        <v>363.3</v>
      </c>
      <c r="I190" s="255">
        <v>363.9</v>
      </c>
      <c r="J190" s="255">
        <v>349.3</v>
      </c>
      <c r="K190" s="255">
        <v>347.5</v>
      </c>
      <c r="L190" s="255">
        <v>365.5</v>
      </c>
      <c r="M190" s="151">
        <f>AVERAGE(I190:L190)</f>
        <v>356.55</v>
      </c>
      <c r="N190" s="151">
        <f t="shared" ref="N190:O200" si="322">AVERAGE(J190:M190)</f>
        <v>354.71249999999998</v>
      </c>
      <c r="O190" s="151">
        <f t="shared" si="322"/>
        <v>356.06562499999995</v>
      </c>
      <c r="P190" s="151">
        <f t="shared" ref="P190:P194" si="323">AVERAGE(L190:O190)</f>
        <v>358.20703124999994</v>
      </c>
      <c r="Q190" s="151">
        <f t="shared" ref="Q190:Q194" si="324">AVERAGE(M190:P190)</f>
        <v>356.3837890625</v>
      </c>
      <c r="R190" s="117"/>
      <c r="S190" s="117"/>
      <c r="T190" s="117"/>
      <c r="U190" s="118"/>
      <c r="V190" s="192"/>
      <c r="W190" s="192"/>
      <c r="X190" s="111"/>
      <c r="Y190" s="111"/>
      <c r="Z190" s="111"/>
      <c r="AA190" s="111"/>
      <c r="AB190" s="117"/>
      <c r="AC190" s="120"/>
    </row>
    <row r="191" spans="1:29" ht="15" outlineLevel="1" x14ac:dyDescent="0.15">
      <c r="A191" s="223" t="s">
        <v>289</v>
      </c>
      <c r="B191" s="140"/>
      <c r="C191" s="255">
        <v>1658.4</v>
      </c>
      <c r="D191" s="255">
        <v>1657.8</v>
      </c>
      <c r="E191" s="255">
        <v>1674.6</v>
      </c>
      <c r="F191" s="255">
        <v>1623.8</v>
      </c>
      <c r="G191" s="255">
        <v>1595</v>
      </c>
      <c r="H191" s="255">
        <v>1594.8</v>
      </c>
      <c r="I191" s="255">
        <v>1599.7</v>
      </c>
      <c r="J191" s="255">
        <v>1663.9</v>
      </c>
      <c r="K191" s="255">
        <v>1790.9</v>
      </c>
      <c r="L191" s="255">
        <v>1750.4</v>
      </c>
      <c r="M191" s="133">
        <f>M192*M11</f>
        <v>1806.2301599999998</v>
      </c>
      <c r="N191" s="133">
        <f>N192*N11</f>
        <v>1962.4133231999999</v>
      </c>
      <c r="O191" s="133">
        <f>O192*O11</f>
        <v>2009.986070184</v>
      </c>
      <c r="P191" s="133">
        <f>P192*P11</f>
        <v>2028.3861908858398</v>
      </c>
      <c r="Q191" s="133">
        <f>Q192*Q11</f>
        <v>2033.0997124298185</v>
      </c>
      <c r="R191" s="117"/>
      <c r="S191" s="117"/>
      <c r="T191" s="117"/>
      <c r="U191" s="118"/>
      <c r="V191" s="192"/>
      <c r="W191" s="192"/>
      <c r="X191" s="111"/>
      <c r="Y191" s="111"/>
      <c r="Z191" s="111"/>
      <c r="AA191" s="111"/>
      <c r="AB191" s="117"/>
      <c r="AC191" s="120"/>
    </row>
    <row r="192" spans="1:29" ht="15" outlineLevel="1" x14ac:dyDescent="0.15">
      <c r="A192" s="497" t="s">
        <v>529</v>
      </c>
      <c r="B192" s="140"/>
      <c r="C192" s="303">
        <f t="shared" ref="C192:L192" si="325">C191/C11</f>
        <v>0.21750363948745527</v>
      </c>
      <c r="D192" s="303">
        <f t="shared" si="325"/>
        <v>0.21261478479454163</v>
      </c>
      <c r="E192" s="303">
        <f t="shared" si="325"/>
        <v>0.20719093338612293</v>
      </c>
      <c r="F192" s="303">
        <f t="shared" si="325"/>
        <v>0.19428790217404307</v>
      </c>
      <c r="G192" s="303">
        <f t="shared" si="325"/>
        <v>0.18552767793790928</v>
      </c>
      <c r="H192" s="303">
        <f t="shared" si="325"/>
        <v>0.17747409888605734</v>
      </c>
      <c r="I192" s="303">
        <f t="shared" si="325"/>
        <v>0.17080592807721875</v>
      </c>
      <c r="J192" s="303">
        <f t="shared" si="325"/>
        <v>0.17742399846450774</v>
      </c>
      <c r="K192" s="303">
        <f t="shared" si="325"/>
        <v>0.18889357662693809</v>
      </c>
      <c r="L192" s="303">
        <f t="shared" si="325"/>
        <v>0.18188997651557662</v>
      </c>
      <c r="M192" s="431">
        <v>0.18</v>
      </c>
      <c r="N192" s="431">
        <v>0.18</v>
      </c>
      <c r="O192" s="431">
        <v>0.18</v>
      </c>
      <c r="P192" s="431">
        <v>0.18</v>
      </c>
      <c r="Q192" s="431">
        <v>0.18</v>
      </c>
      <c r="R192" s="117"/>
      <c r="S192" s="117"/>
      <c r="T192" s="117"/>
      <c r="U192" s="118"/>
      <c r="V192" s="192"/>
      <c r="W192" s="192"/>
      <c r="X192" s="111"/>
      <c r="Y192" s="111"/>
      <c r="Z192" s="111"/>
      <c r="AA192" s="111"/>
      <c r="AB192" s="117"/>
      <c r="AC192" s="120"/>
    </row>
    <row r="193" spans="1:29" outlineLevel="1" x14ac:dyDescent="0.15">
      <c r="A193" s="497"/>
      <c r="B193" s="140"/>
      <c r="C193" s="303"/>
      <c r="D193" s="303"/>
      <c r="E193" s="303"/>
      <c r="F193" s="303"/>
      <c r="G193" s="303"/>
      <c r="H193" s="303"/>
      <c r="I193" s="303"/>
      <c r="J193" s="303"/>
      <c r="K193" s="303"/>
      <c r="L193" s="303"/>
      <c r="M193" s="431"/>
      <c r="N193" s="431"/>
      <c r="O193" s="431"/>
      <c r="P193" s="431"/>
      <c r="Q193" s="431"/>
      <c r="R193" s="117"/>
      <c r="S193" s="117"/>
      <c r="T193" s="117"/>
      <c r="U193" s="118"/>
      <c r="V193" s="192"/>
      <c r="W193" s="192"/>
      <c r="X193" s="111"/>
      <c r="Y193" s="111"/>
      <c r="Z193" s="111"/>
      <c r="AA193" s="111"/>
      <c r="AB193" s="117"/>
      <c r="AC193" s="120"/>
    </row>
    <row r="194" spans="1:29" ht="15" outlineLevel="1" x14ac:dyDescent="0.15">
      <c r="A194" s="223" t="s">
        <v>290</v>
      </c>
      <c r="B194" s="140"/>
      <c r="C194" s="255">
        <v>0</v>
      </c>
      <c r="D194" s="255">
        <v>0</v>
      </c>
      <c r="E194" s="255">
        <v>6</v>
      </c>
      <c r="F194" s="255">
        <v>20.6</v>
      </c>
      <c r="G194" s="255">
        <v>2.9</v>
      </c>
      <c r="H194" s="255">
        <v>24</v>
      </c>
      <c r="I194" s="255">
        <v>256.7</v>
      </c>
      <c r="J194" s="255">
        <v>0</v>
      </c>
      <c r="K194" s="255">
        <v>159.1</v>
      </c>
      <c r="L194" s="255">
        <v>190.9</v>
      </c>
      <c r="M194" s="151">
        <f t="shared" ref="M194:M200" si="326">AVERAGE(I194:L194)</f>
        <v>151.67499999999998</v>
      </c>
      <c r="N194" s="151">
        <f t="shared" si="322"/>
        <v>125.41874999999999</v>
      </c>
      <c r="O194" s="151">
        <f t="shared" si="322"/>
        <v>156.7734375</v>
      </c>
      <c r="P194" s="151">
        <f t="shared" si="323"/>
        <v>156.19179687499999</v>
      </c>
      <c r="Q194" s="151">
        <f t="shared" si="324"/>
        <v>147.51474609375001</v>
      </c>
      <c r="R194" s="117"/>
      <c r="S194" s="117"/>
      <c r="T194" s="117"/>
      <c r="U194" s="118"/>
      <c r="V194" s="192"/>
      <c r="W194" s="192"/>
      <c r="X194" s="111"/>
      <c r="Y194" s="111"/>
      <c r="Z194" s="111"/>
      <c r="AA194" s="111"/>
      <c r="AB194" s="117"/>
      <c r="AC194" s="120"/>
    </row>
    <row r="195" spans="1:29" ht="15" outlineLevel="1" x14ac:dyDescent="0.15">
      <c r="A195" s="223" t="s">
        <v>291</v>
      </c>
      <c r="B195" s="140"/>
      <c r="C195" s="255">
        <v>144.30000000000001</v>
      </c>
      <c r="D195" s="255">
        <v>62</v>
      </c>
      <c r="E195" s="255">
        <v>91.8</v>
      </c>
      <c r="F195" s="255">
        <v>130.30000000000001</v>
      </c>
      <c r="G195" s="255">
        <v>199</v>
      </c>
      <c r="H195" s="255">
        <v>0</v>
      </c>
      <c r="I195" s="255">
        <v>95.4</v>
      </c>
      <c r="J195" s="255">
        <v>416.1</v>
      </c>
      <c r="K195" s="255">
        <v>458.4</v>
      </c>
      <c r="L195" s="255">
        <v>25.2</v>
      </c>
      <c r="M195" s="151">
        <v>25</v>
      </c>
      <c r="N195" s="151">
        <f>M195</f>
        <v>25</v>
      </c>
      <c r="O195" s="151">
        <f>N195</f>
        <v>25</v>
      </c>
      <c r="P195" s="151">
        <f t="shared" ref="P195:Q195" si="327">O195</f>
        <v>25</v>
      </c>
      <c r="Q195" s="151">
        <f t="shared" si="327"/>
        <v>25</v>
      </c>
      <c r="R195" s="117"/>
      <c r="S195" s="117"/>
      <c r="T195" s="117"/>
      <c r="U195" s="118"/>
      <c r="V195" s="192"/>
      <c r="W195" s="192"/>
      <c r="X195" s="111"/>
      <c r="Y195" s="111"/>
      <c r="Z195" s="111"/>
      <c r="AA195" s="111"/>
      <c r="AB195" s="117"/>
      <c r="AC195" s="120"/>
    </row>
    <row r="196" spans="1:29" outlineLevel="1" x14ac:dyDescent="0.15">
      <c r="A196" s="221" t="s">
        <v>119</v>
      </c>
      <c r="B196" s="140">
        <f>CHOOSE(IF($B$1=2,2,1),'GAAP-IFRS'!E39,IF('Broker Actual'!E39="-",'GAAP-IFRS'!E39,'Broker Actual'!E39))</f>
        <v>455.8</v>
      </c>
      <c r="C196" s="140">
        <f>CHOOSE(IF($B$1=2,2,1),'GAAP-IFRS'!F39,IF('Broker Actual'!F39="-",'GAAP-IFRS'!F39,'Broker Actual'!F39))</f>
        <v>76.5</v>
      </c>
      <c r="D196" s="140">
        <f>CHOOSE(IF($B$1=2,2,1),'GAAP-IFRS'!G39,IF('Broker Actual'!G39="-",'GAAP-IFRS'!G39,'Broker Actual'!G39))</f>
        <v>151.9</v>
      </c>
      <c r="E196" s="140">
        <f>CHOOSE(IF($B$1=2,2,1),'GAAP-IFRS'!H39,IF('Broker Actual'!H39="-",'GAAP-IFRS'!H39,'Broker Actual'!H39))</f>
        <v>352</v>
      </c>
      <c r="F196" s="140">
        <f>CHOOSE(IF($B$1=2,2,1),'GAAP-IFRS'!I39,IF('Broker Actual'!I39="-",'GAAP-IFRS'!I39,'Broker Actual'!I39))</f>
        <v>0</v>
      </c>
      <c r="G196" s="140">
        <f>CHOOSE(IF($B$1=2,2,1),'GAAP-IFRS'!J39,IF('Broker Actual'!J39="-",'GAAP-IFRS'!J39,'Broker Actual'!J39))</f>
        <v>199.9</v>
      </c>
      <c r="H196" s="140">
        <f>CHOOSE(IF($B$1=2,2,1),'GAAP-IFRS'!K39,IF('Broker Actual'!K39="-",'GAAP-IFRS'!K39,'Broker Actual'!K39))</f>
        <v>0</v>
      </c>
      <c r="I196" s="140">
        <f>CHOOSE(IF($B$1=2,2,1),'GAAP-IFRS'!L39,IF('Broker Actual'!L39="-",'GAAP-IFRS'!L39,'Broker Actual'!L39))</f>
        <v>426.3</v>
      </c>
      <c r="J196" s="140">
        <f>CHOOSE(IF($B$1=2,2,1),'GAAP-IFRS'!M39,IF('Broker Actual'!M39="-",'GAAP-IFRS'!M39,'Broker Actual'!M39))</f>
        <v>25.4</v>
      </c>
      <c r="K196" s="140">
        <f>CHOOSE(IF($B$1=2,2,1),'GAAP-IFRS'!N39,IF('Broker Actual'!N39="-",'GAAP-IFRS'!N39,'Broker Actual'!N39))</f>
        <v>22.6</v>
      </c>
      <c r="L196" s="140">
        <f>CHOOSE(IF($B$1=2,2,1),'GAAP-IFRS'!O39,IF('Broker Actual'!O39="-",'GAAP-IFRS'!O39,'Broker Actual'!O39))</f>
        <v>20.2</v>
      </c>
      <c r="M196" s="133">
        <v>40</v>
      </c>
      <c r="N196" s="133">
        <f t="shared" si="322"/>
        <v>27.05</v>
      </c>
      <c r="O196" s="133">
        <f t="shared" si="322"/>
        <v>27.462499999999999</v>
      </c>
      <c r="P196" s="133">
        <f t="shared" ref="P196:P200" si="328">AVERAGE(L196:O196)</f>
        <v>28.678125000000001</v>
      </c>
      <c r="Q196" s="133">
        <f t="shared" ref="Q196:Q200" si="329">AVERAGE(M196:P196)</f>
        <v>30.797656249999996</v>
      </c>
      <c r="R196" s="117"/>
      <c r="S196" s="117"/>
      <c r="T196" s="117"/>
      <c r="U196" s="118"/>
      <c r="V196" s="192"/>
      <c r="W196" s="192"/>
      <c r="X196" s="111"/>
      <c r="Y196" s="111"/>
      <c r="Z196" s="111"/>
      <c r="AA196" s="111"/>
      <c r="AB196" s="117"/>
      <c r="AC196" s="120"/>
    </row>
    <row r="197" spans="1:29" outlineLevel="1" x14ac:dyDescent="0.15">
      <c r="A197" s="221" t="s">
        <v>120</v>
      </c>
      <c r="B197" s="140">
        <f>CHOOSE(IF($B$1=2,2,1),'GAAP-IFRS'!E40,IF('Broker Actual'!E40="-",'GAAP-IFRS'!E40,'Broker Actual'!E40))</f>
        <v>2755.4</v>
      </c>
      <c r="C197" s="140">
        <f>CHOOSE(IF($B$1=2,2,1),'GAAP-IFRS'!F40,IF('Broker Actual'!F40="-",'GAAP-IFRS'!F40,'Broker Actual'!F40))</f>
        <v>2612</v>
      </c>
      <c r="D197" s="140">
        <f>CHOOSE(IF($B$1=2,2,1),'GAAP-IFRS'!G40,IF('Broker Actual'!G40="-",'GAAP-IFRS'!G40,'Broker Actual'!G40))</f>
        <v>2628.7</v>
      </c>
      <c r="E197" s="140">
        <f>CHOOSE(IF($B$1=2,2,1),'GAAP-IFRS'!H40,IF('Broker Actual'!H40="-",'GAAP-IFRS'!H40,'Broker Actual'!H40))</f>
        <v>2449.4</v>
      </c>
      <c r="F197" s="140">
        <f>CHOOSE(IF($B$1=2,2,1),'GAAP-IFRS'!I40,IF('Broker Actual'!I40="-",'GAAP-IFRS'!I40,'Broker Actual'!I40))</f>
        <v>2999.4</v>
      </c>
      <c r="G197" s="140">
        <f>CHOOSE(IF($B$1=2,2,1),'GAAP-IFRS'!J40,IF('Broker Actual'!J40="-",'GAAP-IFRS'!J40,'Broker Actual'!J40))</f>
        <v>2738.4</v>
      </c>
      <c r="H197" s="140">
        <f>CHOOSE(IF($B$1=2,2,1),'GAAP-IFRS'!K40,IF('Broker Actual'!K40="-",'GAAP-IFRS'!K40,'Broker Actual'!K40))</f>
        <v>2971.3</v>
      </c>
      <c r="I197" s="140">
        <f>CHOOSE(IF($B$1=2,2,1),'GAAP-IFRS'!L40,IF('Broker Actual'!L40="-",'GAAP-IFRS'!L40,'Broker Actual'!L40))</f>
        <v>3015</v>
      </c>
      <c r="J197" s="140">
        <f>CHOOSE(IF($B$1=2,2,1),'GAAP-IFRS'!M40,IF('Broker Actual'!M40="-",'GAAP-IFRS'!M40,'Broker Actual'!M40))</f>
        <v>3426.2</v>
      </c>
      <c r="K197" s="140">
        <f>CHOOSE(IF($B$1=2,2,1),'GAAP-IFRS'!N40,IF('Broker Actual'!N40="-",'GAAP-IFRS'!N40,'Broker Actual'!N40))</f>
        <v>3502.2</v>
      </c>
      <c r="L197" s="140">
        <f>CHOOSE(IF($B$1=2,2,1),'GAAP-IFRS'!O40,IF('Broker Actual'!O40="-",'GAAP-IFRS'!O40,'Broker Actual'!O40))</f>
        <v>3477.5</v>
      </c>
      <c r="M197" s="133">
        <f>L197+M295</f>
        <v>3314.216403583443</v>
      </c>
      <c r="N197" s="133">
        <f t="shared" ref="N197:Q197" si="330">M197+N295</f>
        <v>3062.9607463043353</v>
      </c>
      <c r="O197" s="133">
        <f t="shared" si="330"/>
        <v>2784.7003931784106</v>
      </c>
      <c r="P197" s="133">
        <f t="shared" si="330"/>
        <v>2622.4562968185846</v>
      </c>
      <c r="Q197" s="133">
        <f t="shared" si="330"/>
        <v>2562.1282896529801</v>
      </c>
      <c r="R197" s="117"/>
      <c r="S197" s="117"/>
      <c r="T197" s="117"/>
      <c r="U197" s="118"/>
      <c r="V197" s="192"/>
      <c r="W197" s="192"/>
      <c r="X197" s="111"/>
      <c r="Y197" s="111"/>
      <c r="Z197" s="111"/>
      <c r="AA197" s="111"/>
      <c r="AB197" s="117"/>
      <c r="AC197" s="120"/>
    </row>
    <row r="198" spans="1:29" outlineLevel="1" x14ac:dyDescent="0.15">
      <c r="A198" s="498" t="s">
        <v>593</v>
      </c>
      <c r="B198" s="140"/>
      <c r="C198" s="300">
        <f>C197/C176</f>
        <v>4.4494867418241532E-2</v>
      </c>
      <c r="D198" s="300">
        <f t="shared" ref="D198:Q198" si="331">D197/D176</f>
        <v>4.2567214160679205E-2</v>
      </c>
      <c r="E198" s="300">
        <f t="shared" si="331"/>
        <v>4.0918263705129236E-2</v>
      </c>
      <c r="F198" s="300">
        <f t="shared" si="331"/>
        <v>4.8971235073030715E-2</v>
      </c>
      <c r="G198" s="300">
        <f t="shared" si="331"/>
        <v>4.3244950491922375E-2</v>
      </c>
      <c r="H198" s="300">
        <f t="shared" si="331"/>
        <v>4.8562556182070775E-2</v>
      </c>
      <c r="I198" s="300">
        <f t="shared" si="331"/>
        <v>4.5386803956103512E-2</v>
      </c>
      <c r="J198" s="300">
        <f t="shared" si="331"/>
        <v>4.8877774179604629E-2</v>
      </c>
      <c r="K198" s="300">
        <f t="shared" si="331"/>
        <v>5.0346453523475457E-2</v>
      </c>
      <c r="L198" s="300">
        <f t="shared" si="331"/>
        <v>5.7411773251974538E-2</v>
      </c>
      <c r="M198" s="300">
        <f t="shared" si="331"/>
        <v>5.2916874182435764E-2</v>
      </c>
      <c r="N198" s="300">
        <f t="shared" si="331"/>
        <v>4.6970332593930859E-2</v>
      </c>
      <c r="O198" s="300">
        <f t="shared" si="331"/>
        <v>4.1555597082654008E-2</v>
      </c>
      <c r="P198" s="300">
        <f t="shared" si="331"/>
        <v>3.8188779363647098E-2</v>
      </c>
      <c r="Q198" s="300">
        <f t="shared" si="331"/>
        <v>3.6466988699207052E-2</v>
      </c>
      <c r="R198" s="117"/>
      <c r="S198" s="117"/>
      <c r="T198" s="117"/>
      <c r="U198" s="118"/>
      <c r="V198" s="192"/>
      <c r="W198" s="192"/>
      <c r="X198" s="111"/>
      <c r="Y198" s="111"/>
      <c r="Z198" s="111"/>
      <c r="AA198" s="111"/>
      <c r="AB198" s="117"/>
      <c r="AC198" s="120"/>
    </row>
    <row r="199" spans="1:29" outlineLevel="1" x14ac:dyDescent="0.15">
      <c r="A199" s="221"/>
      <c r="B199" s="140"/>
      <c r="C199" s="140"/>
      <c r="D199" s="140"/>
      <c r="E199" s="140"/>
      <c r="F199" s="140"/>
      <c r="G199" s="140"/>
      <c r="H199" s="140"/>
      <c r="I199" s="140"/>
      <c r="J199" s="140"/>
      <c r="K199" s="140"/>
      <c r="L199" s="140"/>
      <c r="M199" s="151"/>
      <c r="N199" s="151"/>
      <c r="O199" s="151"/>
      <c r="P199" s="151"/>
      <c r="Q199" s="151"/>
      <c r="R199" s="117"/>
      <c r="S199" s="117"/>
      <c r="T199" s="117"/>
      <c r="U199" s="118"/>
      <c r="V199" s="192"/>
      <c r="W199" s="192"/>
      <c r="X199" s="111"/>
      <c r="Y199" s="111"/>
      <c r="Z199" s="111"/>
      <c r="AA199" s="111"/>
      <c r="AB199" s="117"/>
      <c r="AC199" s="120"/>
    </row>
    <row r="200" spans="1:29" ht="15" outlineLevel="1" x14ac:dyDescent="0.15">
      <c r="A200" s="223" t="s">
        <v>292</v>
      </c>
      <c r="B200" s="140"/>
      <c r="C200" s="255">
        <v>1229.4000000000001</v>
      </c>
      <c r="D200" s="255">
        <v>1572.6</v>
      </c>
      <c r="E200" s="255">
        <v>1916.5</v>
      </c>
      <c r="F200" s="255">
        <v>2081.9</v>
      </c>
      <c r="G200" s="255">
        <v>2123.1</v>
      </c>
      <c r="H200" s="255">
        <v>1762.8</v>
      </c>
      <c r="I200" s="255">
        <v>1880.5</v>
      </c>
      <c r="J200" s="255">
        <v>2471.4</v>
      </c>
      <c r="K200" s="255">
        <v>2585.9</v>
      </c>
      <c r="L200" s="255">
        <v>2334.4</v>
      </c>
      <c r="M200" s="151">
        <f t="shared" si="326"/>
        <v>2318.0499999999997</v>
      </c>
      <c r="N200" s="151">
        <f t="shared" si="322"/>
        <v>2427.4375</v>
      </c>
      <c r="O200" s="151">
        <f t="shared" si="322"/>
        <v>2416.4468750000001</v>
      </c>
      <c r="P200" s="151">
        <f t="shared" si="328"/>
        <v>2374.0835937500001</v>
      </c>
      <c r="Q200" s="151">
        <f t="shared" si="329"/>
        <v>2384.0044921874996</v>
      </c>
      <c r="R200" s="117"/>
      <c r="S200" s="117"/>
      <c r="T200" s="117"/>
      <c r="U200" s="118"/>
      <c r="V200" s="192"/>
      <c r="W200" s="192"/>
      <c r="X200" s="111"/>
      <c r="Y200" s="111"/>
      <c r="Z200" s="111"/>
      <c r="AA200" s="111"/>
      <c r="AB200" s="117"/>
      <c r="AC200" s="120"/>
    </row>
    <row r="201" spans="1:29" outlineLevel="1" x14ac:dyDescent="0.15">
      <c r="A201" s="223"/>
      <c r="B201" s="140"/>
      <c r="C201" s="140"/>
      <c r="D201" s="140"/>
      <c r="E201" s="140"/>
      <c r="F201" s="140"/>
      <c r="G201" s="140"/>
      <c r="H201" s="140"/>
      <c r="I201" s="140"/>
      <c r="J201" s="140"/>
      <c r="K201" s="140"/>
      <c r="L201" s="140"/>
      <c r="P201" s="117"/>
      <c r="Q201" s="117"/>
      <c r="R201" s="117"/>
      <c r="S201" s="117"/>
      <c r="T201" s="117"/>
      <c r="U201" s="146"/>
      <c r="V201" s="192"/>
      <c r="W201" s="192"/>
      <c r="X201" s="111"/>
      <c r="Y201" s="111"/>
      <c r="Z201" s="111"/>
      <c r="AA201" s="111"/>
      <c r="AB201" s="145"/>
      <c r="AC201" s="158"/>
    </row>
    <row r="202" spans="1:29" outlineLevel="1" x14ac:dyDescent="0.15">
      <c r="A202" s="221" t="s">
        <v>121</v>
      </c>
      <c r="B202" s="140">
        <f>CHOOSE(IF($B$1=2,2,1),'GAAP-IFRS'!E41,IF('Broker Actual'!E41="-",'GAAP-IFRS'!E41,'Broker Actual'!E41))</f>
        <v>2882.5</v>
      </c>
      <c r="C202" s="140">
        <f>CHOOSE(IF($B$1=2,2,1),'GAAP-IFRS'!F41,IF('Broker Actual'!F41="-",'GAAP-IFRS'!F41,'Broker Actual'!F41))</f>
        <v>2430.25</v>
      </c>
      <c r="D202" s="140">
        <f>CHOOSE(IF($B$1=2,2,1),'GAAP-IFRS'!G41,IF('Broker Actual'!G41="-",'GAAP-IFRS'!G41,'Broker Actual'!G41))</f>
        <v>2505.4499999999998</v>
      </c>
      <c r="E202" s="140">
        <f>CHOOSE(IF($B$1=2,2,1),'GAAP-IFRS'!H41,IF('Broker Actual'!H41="-",'GAAP-IFRS'!H41,'Broker Actual'!H41))</f>
        <v>2827.5</v>
      </c>
      <c r="F202" s="140">
        <f>CHOOSE(IF($B$1=2,2,1),'GAAP-IFRS'!I41,IF('Broker Actual'!I41="-",'GAAP-IFRS'!I41,'Broker Actual'!I41))</f>
        <v>2999</v>
      </c>
      <c r="G202" s="140">
        <f>CHOOSE(IF($B$1=2,2,1),'GAAP-IFRS'!J41,IF('Broker Actual'!J41="-",'GAAP-IFRS'!J41,'Broker Actual'!J41))</f>
        <v>2938.3</v>
      </c>
      <c r="H202" s="140">
        <f>CHOOSE(IF($B$1=2,2,1),'GAAP-IFRS'!K41,IF('Broker Actual'!K41="-",'GAAP-IFRS'!K41,'Broker Actual'!K41))</f>
        <v>2971.3</v>
      </c>
      <c r="I202" s="140">
        <f>CHOOSE(IF($B$1=2,2,1),'GAAP-IFRS'!L41,IF('Broker Actual'!L41="-",'GAAP-IFRS'!L41,'Broker Actual'!L41))</f>
        <v>3441.3</v>
      </c>
      <c r="J202" s="140">
        <f>CHOOSE(IF($B$1=2,2,1),'GAAP-IFRS'!M41,IF('Broker Actual'!M41="-",'GAAP-IFRS'!M41,'Broker Actual'!M41))</f>
        <v>3451.6</v>
      </c>
      <c r="K202" s="140">
        <f>CHOOSE(IF($B$1=2,2,1),'GAAP-IFRS'!N41,IF('Broker Actual'!N41="-",'GAAP-IFRS'!N41,'Broker Actual'!N41))</f>
        <v>3524.8</v>
      </c>
      <c r="L202" s="140">
        <f>CHOOSE(IF($B$1=2,2,1),'GAAP-IFRS'!O41,IF('Broker Actual'!O41="-",'GAAP-IFRS'!O41,'Broker Actual'!O41))</f>
        <v>3497.7</v>
      </c>
      <c r="M202" s="139">
        <f>M197+M196</f>
        <v>3354.216403583443</v>
      </c>
      <c r="N202" s="139">
        <f t="shared" ref="N202:O202" si="332">N197+N196</f>
        <v>3090.0107463043355</v>
      </c>
      <c r="O202" s="139">
        <f t="shared" si="332"/>
        <v>2812.1628931784107</v>
      </c>
      <c r="P202" s="139">
        <f t="shared" ref="P202:Q202" si="333">P197+P196</f>
        <v>2651.1344218185845</v>
      </c>
      <c r="Q202" s="139">
        <f t="shared" si="333"/>
        <v>2592.9259459029799</v>
      </c>
      <c r="R202" s="117"/>
      <c r="S202" s="117"/>
      <c r="T202" s="117"/>
      <c r="U202" s="118"/>
      <c r="V202" s="192"/>
      <c r="W202" s="192"/>
      <c r="X202" s="111"/>
      <c r="Y202" s="111"/>
      <c r="Z202" s="111"/>
      <c r="AA202" s="111"/>
      <c r="AB202" s="117"/>
      <c r="AC202" s="120"/>
    </row>
    <row r="203" spans="1:29" outlineLevel="1" x14ac:dyDescent="0.15">
      <c r="A203" s="498" t="s">
        <v>528</v>
      </c>
      <c r="B203" s="140"/>
      <c r="C203" s="138">
        <f>C202/C176</f>
        <v>4.1398794618369636E-2</v>
      </c>
      <c r="D203" s="138">
        <f t="shared" ref="D203:O203" si="334">D202/D176</f>
        <v>4.0571395259586002E-2</v>
      </c>
      <c r="E203" s="138">
        <f t="shared" si="334"/>
        <v>4.7234584235426195E-2</v>
      </c>
      <c r="F203" s="138">
        <f t="shared" si="334"/>
        <v>4.896470426886014E-2</v>
      </c>
      <c r="G203" s="138">
        <f t="shared" si="334"/>
        <v>4.6401781343271803E-2</v>
      </c>
      <c r="H203" s="138">
        <f t="shared" si="334"/>
        <v>4.8562556182070775E-2</v>
      </c>
      <c r="I203" s="138">
        <f t="shared" si="334"/>
        <v>5.1804181908503819E-2</v>
      </c>
      <c r="J203" s="138">
        <f t="shared" si="334"/>
        <v>4.9240127651136348E-2</v>
      </c>
      <c r="K203" s="138">
        <f t="shared" si="334"/>
        <v>5.0671343549639175E-2</v>
      </c>
      <c r="L203" s="138">
        <f t="shared" si="334"/>
        <v>5.7745265076471985E-2</v>
      </c>
      <c r="M203" s="138">
        <f t="shared" si="334"/>
        <v>5.3555539468446905E-2</v>
      </c>
      <c r="N203" s="138">
        <f t="shared" si="334"/>
        <v>4.738514283862591E-2</v>
      </c>
      <c r="O203" s="138">
        <f t="shared" si="334"/>
        <v>4.1965415168534269E-2</v>
      </c>
      <c r="P203" s="138">
        <f t="shared" ref="P203:Q203" si="335">P202/P176</f>
        <v>3.8606396461600911E-2</v>
      </c>
      <c r="Q203" s="138">
        <f t="shared" si="335"/>
        <v>3.6905334346053226E-2</v>
      </c>
      <c r="R203" s="117"/>
      <c r="S203" s="117"/>
      <c r="T203" s="117"/>
      <c r="U203" s="118"/>
      <c r="V203" s="192"/>
      <c r="W203" s="192"/>
      <c r="X203" s="111"/>
      <c r="Y203" s="111"/>
      <c r="Z203" s="111"/>
      <c r="AA203" s="111"/>
      <c r="AB203" s="117"/>
      <c r="AC203" s="120"/>
    </row>
    <row r="204" spans="1:29" outlineLevel="1" x14ac:dyDescent="0.15">
      <c r="A204" s="223"/>
      <c r="B204" s="140"/>
      <c r="C204" s="140"/>
      <c r="D204" s="140"/>
      <c r="E204" s="140"/>
      <c r="F204" s="140"/>
      <c r="G204" s="140"/>
      <c r="H204" s="140"/>
      <c r="I204" s="140"/>
      <c r="J204" s="140"/>
      <c r="K204" s="140"/>
      <c r="L204" s="140"/>
      <c r="R204" s="117"/>
      <c r="S204" s="117"/>
      <c r="T204" s="117"/>
      <c r="U204" s="146"/>
      <c r="V204" s="192"/>
      <c r="W204" s="192"/>
      <c r="X204" s="111"/>
      <c r="Y204" s="111"/>
      <c r="Z204" s="111"/>
      <c r="AA204" s="111"/>
      <c r="AB204" s="145"/>
      <c r="AC204" s="158"/>
    </row>
    <row r="205" spans="1:29" ht="15" outlineLevel="1" x14ac:dyDescent="0.15">
      <c r="A205" s="223" t="s">
        <v>293</v>
      </c>
      <c r="B205" s="140"/>
      <c r="C205" s="142">
        <f t="shared" ref="C205:L205" si="336">SUM(C184:C200)</f>
        <v>50750.612733617811</v>
      </c>
      <c r="D205" s="142">
        <f t="shared" si="336"/>
        <v>53934.641815662326</v>
      </c>
      <c r="E205" s="142">
        <f t="shared" si="336"/>
        <v>51905.518880255193</v>
      </c>
      <c r="F205" s="142">
        <f t="shared" si="336"/>
        <v>52979.217707849224</v>
      </c>
      <c r="G205" s="142">
        <f t="shared" si="336"/>
        <v>54443.919787040271</v>
      </c>
      <c r="H205" s="142">
        <f t="shared" si="336"/>
        <v>53259.204879534642</v>
      </c>
      <c r="I205" s="142">
        <f t="shared" si="336"/>
        <v>57168.604225532923</v>
      </c>
      <c r="J205" s="142">
        <f t="shared" si="336"/>
        <v>59866.41871494802</v>
      </c>
      <c r="K205" s="142">
        <f t="shared" si="336"/>
        <v>58787.304001131299</v>
      </c>
      <c r="L205" s="142">
        <f t="shared" si="336"/>
        <v>52486.2444620881</v>
      </c>
      <c r="M205" s="142">
        <f t="shared" ref="M205:O205" si="337">SUM(M184:M200)</f>
        <v>52168.647280457633</v>
      </c>
      <c r="N205" s="142">
        <f t="shared" si="337"/>
        <v>55523.59139623693</v>
      </c>
      <c r="O205" s="142">
        <f t="shared" si="337"/>
        <v>56132.318033663505</v>
      </c>
      <c r="P205" s="142">
        <f t="shared" ref="P205:Q205" si="338">SUM(P184:P200)</f>
        <v>56278.809804618941</v>
      </c>
      <c r="Q205" s="142">
        <f t="shared" si="338"/>
        <v>56224.89826695701</v>
      </c>
      <c r="R205" s="117"/>
      <c r="S205" s="117"/>
      <c r="T205" s="117"/>
      <c r="U205" s="146"/>
      <c r="V205" s="192"/>
      <c r="W205" s="192"/>
      <c r="X205" s="111"/>
      <c r="Y205" s="111"/>
      <c r="Z205" s="111"/>
      <c r="AA205" s="111"/>
      <c r="AB205" s="145"/>
      <c r="AC205" s="158"/>
    </row>
    <row r="206" spans="1:29" outlineLevel="1" x14ac:dyDescent="0.15">
      <c r="A206" s="221"/>
      <c r="B206" s="140"/>
      <c r="C206" s="140"/>
      <c r="D206" s="140"/>
      <c r="E206" s="140"/>
      <c r="F206" s="140"/>
      <c r="G206" s="140"/>
      <c r="H206" s="140"/>
      <c r="I206" s="140"/>
      <c r="J206" s="140"/>
      <c r="K206" s="140"/>
      <c r="L206" s="140"/>
      <c r="P206" s="117"/>
      <c r="Q206" s="117"/>
      <c r="R206" s="117"/>
      <c r="S206" s="117"/>
      <c r="T206" s="117"/>
      <c r="U206" s="191"/>
      <c r="V206" s="192"/>
      <c r="W206" s="192"/>
      <c r="X206" s="111"/>
      <c r="Y206" s="111"/>
      <c r="Z206" s="111"/>
      <c r="AA206" s="111"/>
      <c r="AB206" s="111"/>
      <c r="AC206" s="193"/>
    </row>
    <row r="207" spans="1:29" outlineLevel="2" x14ac:dyDescent="0.15">
      <c r="A207" s="125" t="s">
        <v>284</v>
      </c>
      <c r="B207" s="133" t="e">
        <f>#REF!-B200</f>
        <v>#REF!</v>
      </c>
      <c r="C207" s="134">
        <f t="shared" ref="C207:L207" si="339">C205-C212</f>
        <v>0.26199850691045867</v>
      </c>
      <c r="D207" s="134">
        <f t="shared" si="339"/>
        <v>0.25518199895304861</v>
      </c>
      <c r="E207" s="134">
        <f t="shared" si="339"/>
        <v>0.24810919709125301</v>
      </c>
      <c r="F207" s="134">
        <f t="shared" si="339"/>
        <v>0.24325913724896964</v>
      </c>
      <c r="G207" s="134">
        <f t="shared" si="339"/>
        <v>0.22877262843394419</v>
      </c>
      <c r="H207" s="134">
        <f t="shared" si="339"/>
        <v>0.22603665506903781</v>
      </c>
      <c r="I207" s="134">
        <f t="shared" si="339"/>
        <v>0.21619273203396006</v>
      </c>
      <c r="J207" s="134">
        <f t="shared" si="339"/>
        <v>0.22630177264363738</v>
      </c>
      <c r="K207" s="134">
        <f t="shared" si="339"/>
        <v>0.23924003014690243</v>
      </c>
      <c r="L207" s="134">
        <f t="shared" si="339"/>
        <v>0.23930174976703711</v>
      </c>
      <c r="P207" s="117"/>
      <c r="Q207" s="117"/>
      <c r="R207" s="117"/>
      <c r="S207" s="117"/>
      <c r="T207" s="117"/>
      <c r="U207" s="118"/>
      <c r="V207" s="192"/>
      <c r="W207" s="192"/>
      <c r="X207" s="111"/>
      <c r="Y207" s="111"/>
      <c r="Z207" s="111"/>
      <c r="AA207" s="111"/>
      <c r="AB207" s="117"/>
      <c r="AC207" s="120"/>
    </row>
    <row r="208" spans="1:29" outlineLevel="2" x14ac:dyDescent="0.15">
      <c r="A208" s="128" t="s">
        <v>285</v>
      </c>
      <c r="B208" s="135" t="e">
        <f>B207/B$37</f>
        <v>#REF!</v>
      </c>
      <c r="C208" s="136">
        <f t="shared" ref="C208:L208" si="340">C207/C205</f>
        <v>5.1624698264363564E-6</v>
      </c>
      <c r="D208" s="136">
        <f t="shared" si="340"/>
        <v>4.7313190625277344E-6</v>
      </c>
      <c r="E208" s="136">
        <f t="shared" si="340"/>
        <v>4.7800157371248914E-6</v>
      </c>
      <c r="F208" s="136">
        <f t="shared" si="340"/>
        <v>4.5915954929800556E-6</v>
      </c>
      <c r="G208" s="136">
        <f t="shared" si="340"/>
        <v>4.2019867292582563E-6</v>
      </c>
      <c r="H208" s="136">
        <f t="shared" si="340"/>
        <v>4.244086174029507E-6</v>
      </c>
      <c r="I208" s="136">
        <f t="shared" si="340"/>
        <v>3.7816688891173419E-6</v>
      </c>
      <c r="J208" s="136">
        <f t="shared" si="340"/>
        <v>3.7801120812181166E-6</v>
      </c>
      <c r="K208" s="136">
        <f t="shared" si="340"/>
        <v>4.0695866941320958E-6</v>
      </c>
      <c r="L208" s="136">
        <f t="shared" si="340"/>
        <v>4.5593231563727083E-6</v>
      </c>
      <c r="P208" s="117"/>
      <c r="Q208" s="117"/>
      <c r="R208" s="117"/>
      <c r="S208" s="117"/>
      <c r="T208" s="117"/>
      <c r="U208" s="118"/>
      <c r="V208" s="192"/>
      <c r="W208" s="192"/>
      <c r="X208" s="111"/>
      <c r="Y208" s="111"/>
      <c r="Z208" s="111"/>
      <c r="AA208" s="111"/>
      <c r="AB208" s="117"/>
      <c r="AC208" s="120"/>
    </row>
    <row r="209" spans="1:29" outlineLevel="2" x14ac:dyDescent="0.15">
      <c r="A209" s="128"/>
      <c r="B209" s="135"/>
      <c r="C209" s="136"/>
      <c r="D209" s="136"/>
      <c r="E209" s="136"/>
      <c r="F209" s="136"/>
      <c r="G209" s="136"/>
      <c r="H209" s="136"/>
      <c r="I209" s="136"/>
      <c r="J209" s="136"/>
      <c r="K209" s="136"/>
      <c r="L209" s="136"/>
      <c r="P209" s="117"/>
      <c r="Q209" s="117"/>
      <c r="R209" s="117"/>
      <c r="S209" s="117"/>
      <c r="T209" s="117"/>
      <c r="U209" s="118"/>
      <c r="V209" s="192"/>
      <c r="W209" s="192"/>
      <c r="X209" s="111"/>
      <c r="Y209" s="111"/>
      <c r="Z209" s="111"/>
      <c r="AA209" s="111"/>
      <c r="AB209" s="117"/>
      <c r="AC209" s="120"/>
    </row>
    <row r="210" spans="1:29" outlineLevel="2" x14ac:dyDescent="0.15">
      <c r="A210" s="128" t="s">
        <v>118</v>
      </c>
      <c r="B210" s="135"/>
      <c r="C210" s="286">
        <f>C194+C196+C190+C184+C200</f>
        <v>3230.7</v>
      </c>
      <c r="D210" s="286">
        <f t="shared" ref="D210:K210" si="341">D194+D196+D190+D184+D200</f>
        <v>3650.4</v>
      </c>
      <c r="E210" s="286">
        <f>E194+E196+E190+E184+E200</f>
        <v>4143.3</v>
      </c>
      <c r="F210" s="286">
        <f t="shared" si="341"/>
        <v>3974.1000000000004</v>
      </c>
      <c r="G210" s="286">
        <f t="shared" si="341"/>
        <v>4304.2000000000007</v>
      </c>
      <c r="H210" s="286">
        <f t="shared" si="341"/>
        <v>3845.8</v>
      </c>
      <c r="I210" s="286">
        <f t="shared" si="341"/>
        <v>4672.8999999999996</v>
      </c>
      <c r="J210" s="286">
        <f t="shared" si="341"/>
        <v>4701.5</v>
      </c>
      <c r="K210" s="286">
        <f t="shared" si="341"/>
        <v>5022.8</v>
      </c>
      <c r="L210" s="286">
        <f>L194+L196+L190+L184+L200</f>
        <v>8651.2000000000007</v>
      </c>
      <c r="M210" s="286">
        <f t="shared" ref="M210:Q210" si="342">M194+M196+M190+M184+M200</f>
        <v>6880.1198000000004</v>
      </c>
      <c r="N210" s="286">
        <f t="shared" si="342"/>
        <v>6750.4224339999992</v>
      </c>
      <c r="O210" s="286">
        <f t="shared" si="342"/>
        <v>6530.0570067160006</v>
      </c>
      <c r="P210" s="286">
        <f t="shared" si="342"/>
        <v>6410.4923200672802</v>
      </c>
      <c r="Q210" s="286">
        <f t="shared" si="342"/>
        <v>6307.2002043101138</v>
      </c>
      <c r="R210" s="117"/>
      <c r="S210" s="117"/>
      <c r="T210" s="117"/>
      <c r="U210" s="118"/>
      <c r="V210" s="192"/>
      <c r="W210" s="192"/>
      <c r="X210" s="111"/>
      <c r="Y210" s="111"/>
      <c r="Z210" s="111"/>
      <c r="AA210" s="111"/>
      <c r="AB210" s="117"/>
      <c r="AC210" s="120"/>
    </row>
    <row r="211" spans="1:29" x14ac:dyDescent="0.15">
      <c r="V211" s="192"/>
      <c r="W211" s="192"/>
      <c r="X211" s="111"/>
      <c r="Y211" s="111"/>
      <c r="Z211" s="111"/>
      <c r="AA211" s="111"/>
    </row>
    <row r="212" spans="1:29" outlineLevel="1" x14ac:dyDescent="0.15">
      <c r="A212" s="222" t="s">
        <v>123</v>
      </c>
      <c r="B212" s="140">
        <f>CHOOSE(IF($B$1=2,2,1),'GAAP-IFRS'!E42,IF('Broker Actual'!E42="-",'GAAP-IFRS'!E42,'Broker Actual'!E42))</f>
        <v>49470.2</v>
      </c>
      <c r="C212" s="140">
        <f>CHOOSE(IF($B$1=2,2,1),'GAAP-IFRS'!F42,IF('Broker Actual'!F42="-",'GAAP-IFRS'!F42,'Broker Actual'!F42))</f>
        <v>50750.3507351109</v>
      </c>
      <c r="D212" s="140">
        <f>CHOOSE(IF($B$1=2,2,1),'GAAP-IFRS'!G42,IF('Broker Actual'!G42="-",'GAAP-IFRS'!G42,'Broker Actual'!G42))</f>
        <v>53934.386633663373</v>
      </c>
      <c r="E212" s="140">
        <f>CHOOSE(IF($B$1=2,2,1),'GAAP-IFRS'!H42,IF('Broker Actual'!H42="-",'GAAP-IFRS'!H42,'Broker Actual'!H42))</f>
        <v>51905.270771058102</v>
      </c>
      <c r="F212" s="140">
        <f>CHOOSE(IF($B$1=2,2,1),'GAAP-IFRS'!I42,IF('Broker Actual'!I42="-",'GAAP-IFRS'!I42,'Broker Actual'!I42))</f>
        <v>52978.974448711975</v>
      </c>
      <c r="G212" s="140">
        <f>CHOOSE(IF($B$1=2,2,1),'GAAP-IFRS'!J42,IF('Broker Actual'!J42="-",'GAAP-IFRS'!J42,'Broker Actual'!J42))</f>
        <v>54443.691014411837</v>
      </c>
      <c r="H212" s="140">
        <f>CHOOSE(IF($B$1=2,2,1),'GAAP-IFRS'!K42,IF('Broker Actual'!K42="-",'GAAP-IFRS'!K42,'Broker Actual'!K42))</f>
        <v>53258.978842879573</v>
      </c>
      <c r="I212" s="140">
        <f>CHOOSE(IF($B$1=2,2,1),'GAAP-IFRS'!L42,IF('Broker Actual'!L42="-",'GAAP-IFRS'!L42,'Broker Actual'!L42))</f>
        <v>57168.388032800889</v>
      </c>
      <c r="J212" s="140">
        <f>CHOOSE(IF($B$1=2,2,1),'GAAP-IFRS'!M42,IF('Broker Actual'!M42="-",'GAAP-IFRS'!M42,'Broker Actual'!M42))</f>
        <v>59866.192413175377</v>
      </c>
      <c r="K212" s="140">
        <f>CHOOSE(IF($B$1=2,2,1),'GAAP-IFRS'!N42,IF('Broker Actual'!N42="-",'GAAP-IFRS'!N42,'Broker Actual'!N42))</f>
        <v>58787.064761101152</v>
      </c>
      <c r="L212" s="140">
        <f>CHOOSE(IF($B$1=2,2,1),'GAAP-IFRS'!O42,IF('Broker Actual'!O42="-",'GAAP-IFRS'!O42,'Broker Actual'!O42))</f>
        <v>52486.005160338333</v>
      </c>
      <c r="M212" s="139">
        <f>M205</f>
        <v>52168.647280457633</v>
      </c>
      <c r="N212" s="139">
        <f t="shared" ref="N212:Q212" si="343">N205</f>
        <v>55523.59139623693</v>
      </c>
      <c r="O212" s="139">
        <f t="shared" si="343"/>
        <v>56132.318033663505</v>
      </c>
      <c r="P212" s="139">
        <f t="shared" si="343"/>
        <v>56278.809804618941</v>
      </c>
      <c r="Q212" s="139">
        <f t="shared" si="343"/>
        <v>56224.89826695701</v>
      </c>
      <c r="R212" s="117"/>
      <c r="S212" s="117"/>
      <c r="T212" s="117"/>
      <c r="U212" s="118"/>
      <c r="V212" s="188"/>
      <c r="W212" s="188"/>
      <c r="X212" s="189"/>
      <c r="Y212" s="189"/>
      <c r="Z212" s="189"/>
      <c r="AA212" s="111"/>
      <c r="AB212" s="117"/>
      <c r="AC212" s="120"/>
    </row>
    <row r="213" spans="1:29" outlineLevel="1" x14ac:dyDescent="0.15">
      <c r="A213" s="183"/>
      <c r="B213" s="117"/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P213" s="117"/>
      <c r="Q213" s="117"/>
      <c r="R213" s="117"/>
      <c r="S213" s="117"/>
      <c r="T213" s="117"/>
      <c r="U213" s="146"/>
      <c r="V213" s="188"/>
      <c r="W213" s="188"/>
      <c r="X213" s="189"/>
      <c r="Y213" s="189"/>
      <c r="Z213" s="189"/>
      <c r="AA213" s="111"/>
      <c r="AB213" s="145"/>
      <c r="AC213" s="158"/>
    </row>
    <row r="214" spans="1:29" outlineLevel="1" x14ac:dyDescent="0.15">
      <c r="A214" s="183" t="s">
        <v>124</v>
      </c>
      <c r="B214" s="140">
        <f>CHOOSE(IF($B$1=2,2,1),'GAAP-IFRS'!E44,IF('Broker Actual'!E44="-",'GAAP-IFRS'!E44,'Broker Actual'!E44))</f>
        <v>0</v>
      </c>
      <c r="C214" s="140">
        <f>CHOOSE(IF($B$1=2,2,1),'GAAP-IFRS'!F44,IF('Broker Actual'!F44="-",'GAAP-IFRS'!F44,'Broker Actual'!F44))</f>
        <v>0</v>
      </c>
      <c r="D214" s="140">
        <f>CHOOSE(IF($B$1=2,2,1),'GAAP-IFRS'!G44,IF('Broker Actual'!G44="-",'GAAP-IFRS'!G44,'Broker Actual'!G44))</f>
        <v>0</v>
      </c>
      <c r="E214" s="140">
        <f>CHOOSE(IF($B$1=2,2,1),'GAAP-IFRS'!H44,IF('Broker Actual'!H44="-",'GAAP-IFRS'!H44,'Broker Actual'!H44))</f>
        <v>0</v>
      </c>
      <c r="F214" s="140">
        <f>CHOOSE(IF($B$1=2,2,1),'GAAP-IFRS'!I44,IF('Broker Actual'!I44="-",'GAAP-IFRS'!I44,'Broker Actual'!I44))</f>
        <v>0</v>
      </c>
      <c r="G214" s="140">
        <f>CHOOSE(IF($B$1=2,2,1),'GAAP-IFRS'!J44,IF('Broker Actual'!J44="-",'GAAP-IFRS'!J44,'Broker Actual'!J44))</f>
        <v>0</v>
      </c>
      <c r="H214" s="140">
        <f>CHOOSE(IF($B$1=2,2,1),'GAAP-IFRS'!K44,IF('Broker Actual'!K44="-",'GAAP-IFRS'!K44,'Broker Actual'!K44))</f>
        <v>0</v>
      </c>
      <c r="I214" s="140">
        <f>CHOOSE(IF($B$1=2,2,1),'GAAP-IFRS'!L44,IF('Broker Actual'!L44="-",'GAAP-IFRS'!L44,'Broker Actual'!L44))</f>
        <v>0</v>
      </c>
      <c r="J214" s="140">
        <f>CHOOSE(IF($B$1=2,2,1),'GAAP-IFRS'!M44,IF('Broker Actual'!M44="-",'GAAP-IFRS'!M44,'Broker Actual'!M44))</f>
        <v>0</v>
      </c>
      <c r="K214" s="140">
        <f>CHOOSE(IF($B$1=2,2,1),'GAAP-IFRS'!N44,IF('Broker Actual'!N44="-",'GAAP-IFRS'!N44,'Broker Actual'!N44))</f>
        <v>0</v>
      </c>
      <c r="L214" s="140">
        <f>CHOOSE(IF($B$1=2,2,1),'GAAP-IFRS'!O44,IF('Broker Actual'!O44="-",'GAAP-IFRS'!O44,'Broker Actual'!O44))</f>
        <v>0</v>
      </c>
      <c r="M214" s="139">
        <v>0</v>
      </c>
      <c r="N214" s="139">
        <v>0</v>
      </c>
      <c r="O214" s="139">
        <v>0</v>
      </c>
      <c r="P214" s="139">
        <v>0</v>
      </c>
      <c r="Q214" s="139">
        <v>0</v>
      </c>
      <c r="R214" s="117"/>
      <c r="S214" s="117"/>
      <c r="T214" s="117"/>
      <c r="U214" s="194"/>
      <c r="V214" s="119" t="s">
        <v>78</v>
      </c>
      <c r="W214" s="119" t="s">
        <v>130</v>
      </c>
      <c r="X214" s="117" t="str" cm="1">
        <f t="array" ref="X214">_xll.FDSC("--",$A$1,""&amp;$V214&amp;"("&amp;$W214&amp;","&amp;D$2&amp;",ANNUAL_ROLL,+1,0,,,'CURRENCY="&amp;$E$1&amp;"')")</f>
        <v>--</v>
      </c>
      <c r="Y214" s="117" t="str" cm="1">
        <f t="array" ref="Y214">_xll.FDSC("--",$A$1,""&amp;$V214&amp;"("&amp;$W214&amp;","&amp;D$2&amp;",ANNUAL_ROLL,+2,0,,,'CURRENCY="&amp;$E$1&amp;"')")</f>
        <v>--</v>
      </c>
      <c r="Z214" s="117" t="str" cm="1">
        <f t="array" ref="Z214">_xll.FDSC("--",$A$1,""&amp;$V214&amp;"("&amp;$W214&amp;","&amp;D$2&amp;",ANNUAL_ROLL,+3,0,,,'CURRENCY="&amp;$E$1&amp;"')")</f>
        <v>--</v>
      </c>
      <c r="AA214" s="111"/>
      <c r="AB214" s="117"/>
      <c r="AC214" s="120"/>
    </row>
    <row r="215" spans="1:29" outlineLevel="1" x14ac:dyDescent="0.15">
      <c r="A215" s="183" t="s">
        <v>125</v>
      </c>
      <c r="B215" s="140">
        <f>CHOOSE(IF($B$1=2,2,1),'GAAP-IFRS'!E45,IF('Broker Actual'!E45="-",'GAAP-IFRS'!E45,'Broker Actual'!E45))</f>
        <v>8612.6</v>
      </c>
      <c r="C215" s="140">
        <f>CHOOSE(IF($B$1=2,2,1),'GAAP-IFRS'!F45,IF('Broker Actual'!F45="-",'GAAP-IFRS'!F45,'Broker Actual'!F45))</f>
        <v>8659.1</v>
      </c>
      <c r="D215" s="140">
        <f>CHOOSE(IF($B$1=2,2,1),'GAAP-IFRS'!G45,IF('Broker Actual'!G45="-",'GAAP-IFRS'!G45,'Broker Actual'!G45))</f>
        <v>8552.4</v>
      </c>
      <c r="E215" s="140">
        <f>CHOOSE(IF($B$1=2,2,1),'GAAP-IFRS'!H45,IF('Broker Actual'!H45="-",'GAAP-IFRS'!H45,'Broker Actual'!H45))</f>
        <v>8663.9</v>
      </c>
      <c r="F215" s="140">
        <f>CHOOSE(IF($B$1=2,2,1),'GAAP-IFRS'!I45,IF('Broker Actual'!I45="-",'GAAP-IFRS'!I45,'Broker Actual'!I45))</f>
        <v>8968</v>
      </c>
      <c r="G215" s="140">
        <f>CHOOSE(IF($B$1=2,2,1),'GAAP-IFRS'!J45,IF('Broker Actual'!J45="-",'GAAP-IFRS'!J45,'Broker Actual'!J45))</f>
        <v>9574.9</v>
      </c>
      <c r="H215" s="140">
        <f>CHOOSE(IF($B$1=2,2,1),'GAAP-IFRS'!K45,IF('Broker Actual'!K45="-",'GAAP-IFRS'!K45,'Broker Actual'!K45))</f>
        <v>8621.7999999999993</v>
      </c>
      <c r="I215" s="140">
        <f>CHOOSE(IF($B$1=2,2,1),'GAAP-IFRS'!L45,IF('Broker Actual'!L45="-",'GAAP-IFRS'!L45,'Broker Actual'!L45))</f>
        <v>9965</v>
      </c>
      <c r="J215" s="140">
        <f>CHOOSE(IF($B$1=2,2,1),'GAAP-IFRS'!M45,IF('Broker Actual'!M45="-",'GAAP-IFRS'!M45,'Broker Actual'!M45))</f>
        <v>10871</v>
      </c>
      <c r="K215" s="140">
        <f>CHOOSE(IF($B$1=2,2,1),'GAAP-IFRS'!N45,IF('Broker Actual'!N45="-",'GAAP-IFRS'!N45,'Broker Actual'!N45))</f>
        <v>11239.2</v>
      </c>
      <c r="L215" s="140">
        <f>CHOOSE(IF($B$1=2,2,1),'GAAP-IFRS'!O45,IF('Broker Actual'!O45="-",'GAAP-IFRS'!O45,'Broker Actual'!O45))</f>
        <v>9197.5</v>
      </c>
      <c r="M215" s="139">
        <f>M176-M205</f>
        <v>10461.968280041627</v>
      </c>
      <c r="N215" s="139">
        <f>N176-N205</f>
        <v>9686.9484733510326</v>
      </c>
      <c r="O215" s="139">
        <f t="shared" ref="O215:Q215" si="344">O176-O205</f>
        <v>10879.121788501645</v>
      </c>
      <c r="P215" s="139">
        <f t="shared" si="344"/>
        <v>12392.049555577571</v>
      </c>
      <c r="Q215" s="139">
        <f t="shared" si="344"/>
        <v>14033.940782966834</v>
      </c>
      <c r="R215" s="117"/>
      <c r="S215" s="117"/>
      <c r="T215" s="117"/>
      <c r="U215" s="118"/>
      <c r="V215" s="119"/>
      <c r="W215" s="119"/>
      <c r="X215" s="117"/>
      <c r="Y215" s="117"/>
      <c r="Z215" s="117"/>
      <c r="AA215" s="111"/>
      <c r="AB215" s="117"/>
      <c r="AC215" s="120"/>
    </row>
    <row r="216" spans="1:29" outlineLevel="1" x14ac:dyDescent="0.15">
      <c r="A216" s="184" t="s">
        <v>531</v>
      </c>
      <c r="B216" s="140"/>
      <c r="C216" s="300">
        <f>C215/C176</f>
        <v>0.14750593662377307</v>
      </c>
      <c r="D216" s="300">
        <f t="shared" ref="D216:Q216" si="345">D215/D176</f>
        <v>0.13849120949054394</v>
      </c>
      <c r="E216" s="300">
        <f t="shared" si="345"/>
        <v>0.14473411648357523</v>
      </c>
      <c r="F216" s="300">
        <f t="shared" si="345"/>
        <v>0.146420629504214</v>
      </c>
      <c r="G216" s="300">
        <f t="shared" si="345"/>
        <v>0.15120730224405035</v>
      </c>
      <c r="H216" s="300">
        <f t="shared" si="345"/>
        <v>0.14091362261992318</v>
      </c>
      <c r="I216" s="300">
        <f t="shared" si="345"/>
        <v>0.15000978488310829</v>
      </c>
      <c r="J216" s="300">
        <f t="shared" si="345"/>
        <v>0.15508443263863231</v>
      </c>
      <c r="K216" s="300">
        <f t="shared" si="345"/>
        <v>0.16157097265748541</v>
      </c>
      <c r="L216" s="300">
        <f t="shared" si="345"/>
        <v>0.15184609187204481</v>
      </c>
      <c r="M216" s="300">
        <f>M215/M176</f>
        <v>0.16704239909530644</v>
      </c>
      <c r="N216" s="300">
        <f t="shared" si="345"/>
        <v>0.14854881577002102</v>
      </c>
      <c r="O216" s="300">
        <f t="shared" si="345"/>
        <v>0.16234723231395476</v>
      </c>
      <c r="P216" s="300">
        <f t="shared" si="345"/>
        <v>0.1804557227189782</v>
      </c>
      <c r="Q216" s="300">
        <f t="shared" si="345"/>
        <v>0.19974626641631144</v>
      </c>
      <c r="R216" s="117"/>
      <c r="S216" s="117"/>
      <c r="T216" s="117"/>
      <c r="U216" s="118"/>
      <c r="V216" s="119"/>
      <c r="W216" s="119"/>
      <c r="X216" s="117"/>
      <c r="Y216" s="117"/>
      <c r="Z216" s="117"/>
      <c r="AA216" s="111"/>
      <c r="AB216" s="117"/>
      <c r="AC216" s="120"/>
    </row>
    <row r="217" spans="1:29" outlineLevel="1" x14ac:dyDescent="0.15">
      <c r="A217" s="184"/>
      <c r="B217" s="140"/>
      <c r="C217" s="300"/>
      <c r="D217" s="300"/>
      <c r="E217" s="300"/>
      <c r="F217" s="300"/>
      <c r="G217" s="300"/>
      <c r="H217" s="300"/>
      <c r="I217" s="300"/>
      <c r="J217" s="300"/>
      <c r="K217" s="300"/>
      <c r="L217" s="300"/>
      <c r="M217" s="300"/>
      <c r="N217" s="300"/>
      <c r="O217" s="300"/>
      <c r="P217" s="300"/>
      <c r="Q217" s="300"/>
      <c r="R217" s="117"/>
      <c r="S217" s="117"/>
      <c r="T217" s="117"/>
      <c r="U217" s="118"/>
      <c r="V217" s="119"/>
      <c r="W217" s="119"/>
      <c r="X217" s="117"/>
      <c r="Y217" s="117"/>
      <c r="Z217" s="117"/>
      <c r="AA217" s="111"/>
      <c r="AB217" s="117"/>
      <c r="AC217" s="120"/>
    </row>
    <row r="218" spans="1:29" outlineLevel="2" x14ac:dyDescent="0.15">
      <c r="A218" s="94" t="s">
        <v>592</v>
      </c>
      <c r="B218" s="494"/>
      <c r="C218" s="495">
        <f t="shared" ref="C218:L218" si="346">C122</f>
        <v>265.94920000000002</v>
      </c>
      <c r="D218" s="495">
        <f t="shared" si="346"/>
        <v>256.65280000000001</v>
      </c>
      <c r="E218" s="495">
        <f t="shared" si="346"/>
        <v>247.85470000000001</v>
      </c>
      <c r="F218" s="495">
        <f t="shared" si="346"/>
        <v>235.97919999999999</v>
      </c>
      <c r="G218" s="495">
        <f t="shared" si="346"/>
        <v>227.33519999999999</v>
      </c>
      <c r="H218" s="495">
        <f t="shared" si="346"/>
        <v>220.05860000000001</v>
      </c>
      <c r="I218" s="495">
        <f t="shared" si="346"/>
        <v>209.8544</v>
      </c>
      <c r="J218" s="495">
        <f t="shared" si="346"/>
        <v>203.75530000000001</v>
      </c>
      <c r="K218" s="495">
        <f t="shared" si="346"/>
        <v>204.84790000000001</v>
      </c>
      <c r="L218" s="495">
        <f t="shared" si="346"/>
        <v>202.10939999999999</v>
      </c>
      <c r="M218" s="496">
        <f>M121</f>
        <v>193.21578885244156</v>
      </c>
      <c r="N218" s="496">
        <f>N121</f>
        <v>182.94161540382396</v>
      </c>
      <c r="O218" s="496">
        <f>O121</f>
        <v>171.11121909403627</v>
      </c>
      <c r="P218" s="496">
        <f>P121</f>
        <v>163.97964129158933</v>
      </c>
      <c r="Q218" s="496">
        <f>Q121</f>
        <v>161.12820015238412</v>
      </c>
      <c r="R218" s="117"/>
      <c r="S218" s="117"/>
      <c r="T218" s="117"/>
      <c r="U218" s="118"/>
      <c r="V218" s="179"/>
      <c r="W218" s="179"/>
      <c r="X218" s="167"/>
      <c r="Y218" s="167"/>
      <c r="Z218" s="167"/>
      <c r="AA218" s="159"/>
      <c r="AB218" s="117"/>
      <c r="AC218" s="120"/>
    </row>
    <row r="219" spans="1:29" ht="34.5" customHeight="1" outlineLevel="1" x14ac:dyDescent="0.15">
      <c r="A219" s="183" t="s">
        <v>543</v>
      </c>
      <c r="B219" s="142"/>
      <c r="C219" s="142">
        <f>C215/C218</f>
        <v>32.559225596467293</v>
      </c>
      <c r="D219" s="142">
        <f t="shared" ref="D219:L219" si="347">D215/D218</f>
        <v>33.322839259887282</v>
      </c>
      <c r="E219" s="142">
        <f t="shared" si="347"/>
        <v>34.955560657110794</v>
      </c>
      <c r="F219" s="142">
        <f t="shared" si="347"/>
        <v>38.003349447747937</v>
      </c>
      <c r="G219" s="142">
        <f t="shared" si="347"/>
        <v>42.117982608940459</v>
      </c>
      <c r="H219" s="142">
        <f t="shared" si="347"/>
        <v>39.179563988864778</v>
      </c>
      <c r="I219" s="142">
        <f t="shared" si="347"/>
        <v>47.485304096554565</v>
      </c>
      <c r="J219" s="142">
        <f t="shared" si="347"/>
        <v>53.353213388805102</v>
      </c>
      <c r="K219" s="142">
        <f t="shared" si="347"/>
        <v>54.86607380402728</v>
      </c>
      <c r="L219" s="142">
        <f t="shared" si="347"/>
        <v>45.507532059369829</v>
      </c>
      <c r="M219" s="139">
        <f>M215/M218</f>
        <v>54.146549524642666</v>
      </c>
      <c r="N219" s="139">
        <f t="shared" ref="N219:Q219" si="348">N215/N218</f>
        <v>52.95103824227273</v>
      </c>
      <c r="O219" s="139">
        <f t="shared" si="348"/>
        <v>63.579243056662989</v>
      </c>
      <c r="P219" s="139">
        <f t="shared" si="348"/>
        <v>75.570659003589185</v>
      </c>
      <c r="Q219" s="139">
        <f t="shared" si="348"/>
        <v>87.097980177861388</v>
      </c>
      <c r="R219" s="117"/>
      <c r="S219" s="117"/>
      <c r="T219" s="117"/>
      <c r="U219" s="118"/>
      <c r="V219" s="119"/>
      <c r="W219" s="119"/>
      <c r="X219" s="117"/>
      <c r="Y219" s="117"/>
      <c r="Z219" s="117"/>
      <c r="AA219" s="111"/>
      <c r="AB219" s="117"/>
      <c r="AC219" s="120"/>
    </row>
    <row r="220" spans="1:29" customFormat="1" ht="15" customHeight="1" x14ac:dyDescent="0.15">
      <c r="A220" s="739" t="s">
        <v>654</v>
      </c>
      <c r="B220" s="740">
        <v>1.08</v>
      </c>
      <c r="C220" s="741">
        <v>1.05</v>
      </c>
      <c r="D220" s="741">
        <v>1.03</v>
      </c>
      <c r="E220" s="741">
        <v>0.93</v>
      </c>
      <c r="F220" s="741">
        <v>1.1299999999999999</v>
      </c>
      <c r="G220" s="741">
        <v>1.28</v>
      </c>
      <c r="H220" s="741">
        <v>0.73</v>
      </c>
      <c r="I220" s="741">
        <v>0.59</v>
      </c>
      <c r="J220" s="741">
        <v>0.43</v>
      </c>
      <c r="K220" s="741">
        <v>0.44</v>
      </c>
      <c r="L220" s="741">
        <v>0.93</v>
      </c>
      <c r="M220" s="742">
        <f>L220</f>
        <v>0.93</v>
      </c>
      <c r="N220" s="742">
        <f>M220</f>
        <v>0.93</v>
      </c>
      <c r="O220" s="742">
        <f t="shared" ref="O220:Q220" si="349">N220</f>
        <v>0.93</v>
      </c>
      <c r="P220" s="742">
        <f t="shared" si="349"/>
        <v>0.93</v>
      </c>
      <c r="Q220" s="742">
        <f t="shared" si="349"/>
        <v>0.93</v>
      </c>
      <c r="U220" s="750"/>
    </row>
    <row r="221" spans="1:29" customFormat="1" ht="15" customHeight="1" x14ac:dyDescent="0.15">
      <c r="A221" s="739"/>
      <c r="B221" s="740"/>
      <c r="C221" s="743">
        <f>C219*C220</f>
        <v>34.18718687629066</v>
      </c>
      <c r="D221" s="743">
        <f t="shared" ref="D221:Q221" si="350">D219*D220</f>
        <v>34.322524437683903</v>
      </c>
      <c r="E221" s="743">
        <f t="shared" si="350"/>
        <v>32.508671411113042</v>
      </c>
      <c r="F221" s="743">
        <f t="shared" si="350"/>
        <v>42.943784875955167</v>
      </c>
      <c r="G221" s="743">
        <f t="shared" si="350"/>
        <v>53.911017739443786</v>
      </c>
      <c r="H221" s="743">
        <f t="shared" si="350"/>
        <v>28.601081711871288</v>
      </c>
      <c r="I221" s="743">
        <f t="shared" si="350"/>
        <v>28.016329416967192</v>
      </c>
      <c r="J221" s="743">
        <f t="shared" si="350"/>
        <v>22.941881757186195</v>
      </c>
      <c r="K221" s="743">
        <f t="shared" si="350"/>
        <v>24.141072473772002</v>
      </c>
      <c r="L221" s="743">
        <f t="shared" si="350"/>
        <v>42.322004815213944</v>
      </c>
      <c r="M221" s="743">
        <f t="shared" si="350"/>
        <v>50.35629105791768</v>
      </c>
      <c r="N221" s="743">
        <f t="shared" si="350"/>
        <v>49.244465565313639</v>
      </c>
      <c r="O221" s="743">
        <f t="shared" si="350"/>
        <v>59.128696042696582</v>
      </c>
      <c r="P221" s="743">
        <f t="shared" si="350"/>
        <v>70.280712873337947</v>
      </c>
      <c r="Q221" s="743">
        <f t="shared" si="350"/>
        <v>81.001121565411097</v>
      </c>
      <c r="U221" s="750"/>
    </row>
    <row r="222" spans="1:29" ht="34.5" customHeight="1" outlineLevel="1" x14ac:dyDescent="0.15">
      <c r="A222" s="183"/>
      <c r="B222" s="140"/>
      <c r="C222" s="493"/>
      <c r="D222" s="493"/>
      <c r="E222" s="493"/>
      <c r="F222" s="493"/>
      <c r="G222" s="493"/>
      <c r="H222" s="493"/>
      <c r="I222" s="493"/>
      <c r="J222" s="493"/>
      <c r="K222" s="493"/>
      <c r="L222" s="493"/>
      <c r="M222" s="139"/>
      <c r="N222" s="139"/>
      <c r="O222" s="139"/>
      <c r="P222" s="117"/>
      <c r="Q222" s="117"/>
      <c r="R222" s="117"/>
      <c r="S222" s="117"/>
      <c r="T222" s="117"/>
      <c r="U222" s="118"/>
      <c r="V222" s="119"/>
      <c r="W222" s="119"/>
      <c r="X222" s="117"/>
      <c r="Y222" s="117"/>
      <c r="Z222" s="117"/>
      <c r="AA222" s="111"/>
      <c r="AB222" s="117"/>
      <c r="AC222" s="120"/>
    </row>
    <row r="223" spans="1:29" outlineLevel="1" x14ac:dyDescent="0.15">
      <c r="A223" s="186" t="s">
        <v>127</v>
      </c>
      <c r="B223" s="140">
        <f>CHOOSE(IF($B$1=2,2,1),'GAAP-IFRS'!E46,IF('Broker Actual'!E46="-",'GAAP-IFRS'!E46,'Broker Actual'!E46))</f>
        <v>58082.8</v>
      </c>
      <c r="C223" s="140">
        <f>CHOOSE(IF($B$1=2,2,1),'GAAP-IFRS'!F46,IF('Broker Actual'!F46="-",'GAAP-IFRS'!F46,'Broker Actual'!F46))</f>
        <v>55931.8</v>
      </c>
      <c r="D223" s="140">
        <f>CHOOSE(IF($B$1=2,2,1),'GAAP-IFRS'!G46,IF('Broker Actual'!G46="-",'GAAP-IFRS'!G46,'Broker Actual'!G46))</f>
        <v>59722.2</v>
      </c>
      <c r="E223" s="140">
        <f>CHOOSE(IF($B$1=2,2,1),'GAAP-IFRS'!H46,IF('Broker Actual'!H46="-",'GAAP-IFRS'!H46,'Broker Actual'!H46))</f>
        <v>57158</v>
      </c>
      <c r="F223" s="140">
        <f>CHOOSE(IF($B$1=2,2,1),'GAAP-IFRS'!I46,IF('Broker Actual'!I46="-",'GAAP-IFRS'!I46,'Broker Actual'!I46))</f>
        <v>58698.7</v>
      </c>
      <c r="G223" s="140">
        <f>CHOOSE(IF($B$1=2,2,1),'GAAP-IFRS'!J46,IF('Broker Actual'!J46="-",'GAAP-IFRS'!J46,'Broker Actual'!J46))</f>
        <v>60222.6</v>
      </c>
      <c r="H223" s="140">
        <f>CHOOSE(IF($B$1=2,2,1),'GAAP-IFRS'!K46,IF('Broker Actual'!K46="-",'GAAP-IFRS'!K46,'Broker Actual'!K46))</f>
        <v>57950.6</v>
      </c>
      <c r="I223" s="140">
        <f>CHOOSE(IF($B$1=2,2,1),'GAAP-IFRS'!L46,IF('Broker Actual'!L46="-",'GAAP-IFRS'!L46,'Broker Actual'!L46))</f>
        <v>63580</v>
      </c>
      <c r="J223" s="140">
        <f>CHOOSE(IF($B$1=2,2,1),'GAAP-IFRS'!M46,IF('Broker Actual'!M46="-",'GAAP-IFRS'!M46,'Broker Actual'!M46))</f>
        <v>60683.5</v>
      </c>
      <c r="K223" s="140">
        <f>CHOOSE(IF($B$1=2,2,1),'GAAP-IFRS'!N46,IF('Broker Actual'!N46="-",'GAAP-IFRS'!N46,'Broker Actual'!N46))</f>
        <v>59530.3</v>
      </c>
      <c r="L223" s="140">
        <f>CHOOSE(IF($B$1=2,2,1),'GAAP-IFRS'!O46,IF('Broker Actual'!O46="-",'GAAP-IFRS'!O46,'Broker Actual'!O46))</f>
        <v>50900.5</v>
      </c>
      <c r="M223" s="139">
        <f>M215+M205</f>
        <v>62630.61556049926</v>
      </c>
      <c r="N223" s="139">
        <f>N215+N205</f>
        <v>65210.539869587963</v>
      </c>
      <c r="O223" s="139">
        <f>O215+O205</f>
        <v>67011.43982216515</v>
      </c>
      <c r="P223" s="139">
        <f>P215+P205</f>
        <v>68670.859360196511</v>
      </c>
      <c r="Q223" s="139">
        <f>Q215+Q205</f>
        <v>70258.839049923845</v>
      </c>
      <c r="R223" s="117"/>
      <c r="S223" s="117"/>
      <c r="T223" s="117"/>
      <c r="U223" s="118"/>
      <c r="V223" s="119"/>
      <c r="W223" s="119"/>
      <c r="X223" s="117"/>
      <c r="Y223" s="117"/>
      <c r="Z223" s="117"/>
      <c r="AA223" s="111"/>
      <c r="AB223" s="117"/>
      <c r="AC223" s="120"/>
    </row>
    <row r="224" spans="1:29" ht="34.5" customHeight="1" outlineLevel="1" x14ac:dyDescent="0.15">
      <c r="A224" s="183"/>
      <c r="B224" s="140"/>
      <c r="C224" s="140"/>
      <c r="D224" s="140"/>
      <c r="E224" s="140"/>
      <c r="F224" s="140"/>
      <c r="G224" s="140"/>
      <c r="H224" s="140"/>
      <c r="I224" s="140"/>
      <c r="J224" s="140"/>
      <c r="K224" s="140"/>
      <c r="L224" s="140"/>
      <c r="M224" s="139"/>
      <c r="N224" s="139"/>
      <c r="O224" s="139"/>
      <c r="P224" s="117"/>
      <c r="Q224" s="117"/>
      <c r="R224" s="117"/>
      <c r="S224" s="117"/>
      <c r="T224" s="117"/>
      <c r="U224" s="118"/>
      <c r="V224" s="119"/>
      <c r="W224" s="119"/>
      <c r="X224" s="117"/>
      <c r="Y224" s="117"/>
      <c r="Z224" s="117"/>
      <c r="AA224" s="111"/>
      <c r="AB224" s="117"/>
      <c r="AC224" s="120"/>
    </row>
    <row r="226" spans="1:29" outlineLevel="1" x14ac:dyDescent="0.15">
      <c r="B226" s="140"/>
      <c r="C226" s="140"/>
      <c r="D226" s="140"/>
      <c r="E226" s="140"/>
      <c r="F226" s="140"/>
      <c r="G226" s="140"/>
      <c r="H226" s="140"/>
      <c r="I226" s="140"/>
      <c r="J226" s="140"/>
      <c r="K226" s="140"/>
      <c r="L226" s="140"/>
      <c r="P226" s="117"/>
      <c r="Q226" s="117"/>
      <c r="R226" s="117"/>
      <c r="S226" s="117"/>
      <c r="T226" s="117"/>
      <c r="U226" s="146"/>
      <c r="V226" s="119"/>
      <c r="W226" s="119"/>
      <c r="X226" s="117"/>
      <c r="Y226" s="117"/>
      <c r="Z226" s="117"/>
      <c r="AA226" s="189"/>
      <c r="AB226" s="145"/>
      <c r="AC226" s="158"/>
    </row>
    <row r="227" spans="1:29" outlineLevel="1" x14ac:dyDescent="0.15">
      <c r="B227" s="140"/>
      <c r="C227" s="140"/>
      <c r="D227" s="140"/>
      <c r="E227" s="140"/>
      <c r="F227" s="140"/>
      <c r="G227" s="140"/>
      <c r="H227" s="140"/>
      <c r="I227" s="140"/>
      <c r="J227" s="140"/>
      <c r="K227" s="140"/>
      <c r="L227" s="140"/>
      <c r="P227" s="117"/>
      <c r="Q227" s="117"/>
      <c r="R227" s="117"/>
      <c r="S227" s="117"/>
      <c r="T227" s="117"/>
      <c r="U227" s="191"/>
      <c r="V227" s="119"/>
      <c r="W227" s="119"/>
      <c r="X227" s="117"/>
      <c r="Y227" s="117"/>
      <c r="Z227" s="117"/>
      <c r="AA227" s="189"/>
      <c r="AB227" s="111"/>
      <c r="AC227" s="193"/>
    </row>
    <row r="228" spans="1:29" outlineLevel="1" x14ac:dyDescent="0.15">
      <c r="B228" s="140"/>
      <c r="C228" s="140"/>
      <c r="D228" s="140"/>
      <c r="E228" s="140"/>
      <c r="F228" s="140"/>
      <c r="G228" s="140"/>
      <c r="H228" s="140"/>
      <c r="I228" s="140"/>
      <c r="J228" s="140"/>
      <c r="K228" s="140"/>
      <c r="L228" s="140"/>
      <c r="P228" s="117"/>
      <c r="Q228" s="117"/>
      <c r="R228" s="117"/>
      <c r="S228" s="117"/>
      <c r="T228" s="117"/>
      <c r="U228" s="191"/>
      <c r="V228" s="119"/>
      <c r="W228" s="119"/>
      <c r="X228" s="117"/>
      <c r="Y228" s="117"/>
      <c r="Z228" s="117"/>
      <c r="AA228" s="117"/>
      <c r="AB228" s="111"/>
      <c r="AC228" s="193"/>
    </row>
    <row r="229" spans="1:29" outlineLevel="1" x14ac:dyDescent="0.15">
      <c r="A229" s="276"/>
      <c r="B229" s="140"/>
      <c r="C229" s="140"/>
      <c r="D229" s="140"/>
      <c r="E229" s="140"/>
      <c r="F229" s="140"/>
      <c r="G229" s="140"/>
      <c r="H229" s="140"/>
      <c r="I229" s="140"/>
      <c r="J229" s="140"/>
      <c r="K229" s="140"/>
      <c r="L229" s="140"/>
      <c r="P229" s="117"/>
      <c r="Q229" s="117"/>
      <c r="R229" s="117"/>
      <c r="S229" s="117"/>
      <c r="T229" s="117"/>
      <c r="U229" s="191"/>
      <c r="V229" s="119"/>
      <c r="W229" s="119"/>
      <c r="X229" s="117"/>
      <c r="Y229" s="117"/>
      <c r="Z229" s="117"/>
      <c r="AA229" s="117"/>
      <c r="AB229" s="111"/>
      <c r="AC229" s="193"/>
    </row>
    <row r="230" spans="1:29" outlineLevel="1" x14ac:dyDescent="0.15">
      <c r="A230" s="276"/>
      <c r="B230" s="140"/>
      <c r="C230" s="140"/>
      <c r="D230" s="140"/>
      <c r="E230" s="140"/>
      <c r="F230" s="140"/>
      <c r="G230" s="140"/>
      <c r="H230" s="140"/>
      <c r="I230" s="140"/>
      <c r="J230" s="140"/>
      <c r="K230" s="140"/>
      <c r="L230" s="140"/>
      <c r="P230" s="117"/>
      <c r="Q230" s="117"/>
      <c r="R230" s="117"/>
      <c r="S230" s="117"/>
      <c r="T230" s="117"/>
      <c r="U230" s="191"/>
      <c r="V230" s="119"/>
      <c r="W230" s="119"/>
      <c r="X230" s="117"/>
      <c r="Y230" s="117"/>
      <c r="Z230" s="117"/>
      <c r="AA230" s="117"/>
      <c r="AB230" s="111"/>
      <c r="AC230" s="193"/>
    </row>
    <row r="231" spans="1:29" outlineLevel="1" x14ac:dyDescent="0.15">
      <c r="A231" s="276"/>
      <c r="B231" s="140"/>
      <c r="C231" s="140"/>
      <c r="D231" s="140"/>
      <c r="E231" s="140"/>
      <c r="F231" s="140"/>
      <c r="G231" s="140"/>
      <c r="H231" s="140"/>
      <c r="I231" s="140"/>
      <c r="J231" s="140"/>
      <c r="K231" s="140"/>
      <c r="L231" s="140"/>
      <c r="P231" s="117"/>
      <c r="Q231" s="117"/>
      <c r="R231" s="117"/>
      <c r="S231" s="117"/>
      <c r="T231" s="117"/>
      <c r="U231" s="191"/>
      <c r="V231" s="119"/>
      <c r="W231" s="119"/>
      <c r="X231" s="117"/>
      <c r="Y231" s="117"/>
      <c r="Z231" s="117"/>
      <c r="AA231" s="117"/>
      <c r="AB231" s="111"/>
      <c r="AC231" s="193"/>
    </row>
    <row r="232" spans="1:29" outlineLevel="1" x14ac:dyDescent="0.15">
      <c r="A232" s="276"/>
      <c r="B232" s="140"/>
      <c r="C232" s="140"/>
      <c r="D232" s="140"/>
      <c r="E232" s="140"/>
      <c r="F232" s="140"/>
      <c r="G232" s="140"/>
      <c r="H232" s="140"/>
      <c r="I232" s="140"/>
      <c r="J232" s="140"/>
      <c r="K232" s="140"/>
      <c r="L232" s="140"/>
      <c r="P232" s="117"/>
      <c r="Q232" s="117"/>
      <c r="R232" s="117"/>
      <c r="S232" s="117"/>
      <c r="T232" s="117"/>
      <c r="U232" s="191"/>
      <c r="V232" s="119"/>
      <c r="W232" s="119"/>
      <c r="X232" s="117"/>
      <c r="Y232" s="117"/>
      <c r="Z232" s="117"/>
      <c r="AA232" s="117"/>
      <c r="AB232" s="111"/>
      <c r="AC232" s="193"/>
    </row>
    <row r="233" spans="1:29" outlineLevel="1" x14ac:dyDescent="0.15">
      <c r="A233" s="289"/>
      <c r="B233" s="140"/>
      <c r="C233" s="140"/>
      <c r="D233" s="140"/>
      <c r="E233" s="140"/>
      <c r="F233" s="140"/>
      <c r="G233" s="140"/>
      <c r="H233" s="140"/>
      <c r="I233" s="140"/>
      <c r="J233" s="140"/>
      <c r="K233" s="140"/>
      <c r="L233" s="140"/>
      <c r="P233" s="117"/>
      <c r="Q233" s="117"/>
      <c r="R233" s="117"/>
      <c r="S233" s="117"/>
      <c r="T233" s="117"/>
      <c r="U233" s="191"/>
      <c r="V233" s="119"/>
      <c r="W233" s="119"/>
      <c r="X233" s="117"/>
      <c r="Y233" s="117"/>
      <c r="Z233" s="117"/>
      <c r="AA233" s="117"/>
      <c r="AB233" s="111"/>
      <c r="AC233" s="193"/>
    </row>
    <row r="234" spans="1:29" outlineLevel="1" x14ac:dyDescent="0.15">
      <c r="A234" s="276"/>
      <c r="B234" s="140"/>
      <c r="C234" s="140"/>
      <c r="D234" s="140"/>
      <c r="E234" s="140"/>
      <c r="F234" s="140"/>
      <c r="G234" s="140"/>
      <c r="H234" s="140"/>
      <c r="I234" s="140"/>
      <c r="J234" s="140"/>
      <c r="K234" s="140"/>
      <c r="L234" s="140"/>
      <c r="P234" s="117"/>
      <c r="Q234" s="117"/>
      <c r="R234" s="117"/>
      <c r="S234" s="117"/>
      <c r="T234" s="117"/>
      <c r="U234" s="191"/>
      <c r="V234" s="147" t="s">
        <v>78</v>
      </c>
      <c r="W234" s="147" t="s">
        <v>137</v>
      </c>
      <c r="X234" s="145" t="str" cm="1">
        <f t="array" ref="X234">_xll.FDSC("--",$A$1,""&amp;$V234&amp;"("&amp;$W234&amp;","&amp;D$2&amp;",ANNUAL_ROLL,+1,0,,,'CURRENCY="&amp;$E$1&amp;"')")</f>
        <v>--</v>
      </c>
      <c r="Y234" s="145" t="str" cm="1">
        <f t="array" ref="Y234">_xll.FDSC("--",$A$1,""&amp;$V234&amp;"("&amp;$W234&amp;","&amp;D$2&amp;",ANNUAL_ROLL,+2,0,,,'CURRENCY="&amp;$E$1&amp;"')")</f>
        <v>--</v>
      </c>
      <c r="Z234" s="145" t="str" cm="1">
        <f t="array" ref="Z234">_xll.FDSC("--",$A$1,""&amp;$V234&amp;"("&amp;$W234&amp;","&amp;D$2&amp;",ANNUAL_ROLL,+3,0,,,'CURRENCY="&amp;$E$1&amp;"')")</f>
        <v>--</v>
      </c>
      <c r="AA234" s="117"/>
      <c r="AB234" s="111"/>
      <c r="AC234" s="193"/>
    </row>
    <row r="235" spans="1:29" outlineLevel="1" x14ac:dyDescent="0.15">
      <c r="A235" s="276"/>
      <c r="B235" s="140"/>
      <c r="C235" s="140"/>
      <c r="D235" s="140"/>
      <c r="E235" s="140"/>
      <c r="F235" s="140"/>
      <c r="G235" s="140"/>
      <c r="H235" s="140"/>
      <c r="I235" s="140"/>
      <c r="J235" s="140"/>
      <c r="K235" s="140"/>
      <c r="L235" s="140"/>
      <c r="P235" s="117"/>
      <c r="Q235" s="117"/>
      <c r="R235" s="117"/>
      <c r="S235" s="117"/>
      <c r="T235" s="117"/>
      <c r="U235" s="191"/>
      <c r="V235" s="147"/>
      <c r="W235" s="147"/>
      <c r="X235" s="145"/>
      <c r="Y235" s="145"/>
      <c r="Z235" s="145"/>
      <c r="AA235" s="117"/>
      <c r="AB235" s="111"/>
      <c r="AC235" s="193"/>
    </row>
    <row r="236" spans="1:29" outlineLevel="1" x14ac:dyDescent="0.15">
      <c r="A236" s="289"/>
      <c r="B236" s="140"/>
      <c r="C236" s="140"/>
      <c r="D236" s="140"/>
      <c r="E236" s="140"/>
      <c r="F236" s="140"/>
      <c r="G236" s="140"/>
      <c r="H236" s="140"/>
      <c r="I236" s="140"/>
      <c r="J236" s="140"/>
      <c r="K236" s="140"/>
      <c r="L236" s="140"/>
      <c r="P236" s="117"/>
      <c r="Q236" s="117"/>
      <c r="R236" s="117"/>
      <c r="S236" s="117"/>
      <c r="T236" s="117"/>
      <c r="U236" s="191"/>
      <c r="V236" s="119"/>
      <c r="W236" s="119"/>
      <c r="X236" s="117"/>
      <c r="Y236" s="117"/>
      <c r="Z236" s="117"/>
      <c r="AA236" s="117"/>
      <c r="AB236" s="111"/>
      <c r="AC236" s="193"/>
    </row>
    <row r="237" spans="1:29" outlineLevel="1" x14ac:dyDescent="0.15">
      <c r="A237" s="276"/>
      <c r="B237" s="140"/>
      <c r="C237" s="140"/>
      <c r="D237" s="140"/>
      <c r="E237" s="140"/>
      <c r="F237" s="140"/>
      <c r="G237" s="140"/>
      <c r="H237" s="140"/>
      <c r="I237" s="140"/>
      <c r="J237" s="140"/>
      <c r="K237" s="140"/>
      <c r="L237" s="140"/>
      <c r="P237" s="117"/>
      <c r="Q237" s="117"/>
      <c r="R237" s="117"/>
      <c r="S237" s="117"/>
      <c r="T237" s="117"/>
      <c r="U237" s="191"/>
      <c r="V237" s="119" t="s">
        <v>78</v>
      </c>
      <c r="W237" s="119" t="s">
        <v>140</v>
      </c>
      <c r="X237" s="117" t="str" cm="1">
        <f t="array" ref="X237">_xll.FDSC("--",$A$1,""&amp;$V237&amp;"("&amp;$W237&amp;","&amp;D$2&amp;",ANNUAL_ROLL,+1,0,,,'CURRENCY="&amp;$E$1&amp;"')")</f>
        <v>--</v>
      </c>
      <c r="Y237" s="117" t="str" cm="1">
        <f t="array" ref="Y237">_xll.FDSC("--",$A$1,""&amp;$V237&amp;"("&amp;$W237&amp;","&amp;D$2&amp;",ANNUAL_ROLL,+2,0,,,'CURRENCY="&amp;$E$1&amp;"')")</f>
        <v>--</v>
      </c>
      <c r="Z237" s="117" t="str" cm="1">
        <f t="array" ref="Z237">_xll.FDSC("--",$A$1,""&amp;$V237&amp;"("&amp;$W237&amp;","&amp;D$2&amp;",ANNUAL_ROLL,+3,0,,,'CURRENCY="&amp;$E$1&amp;"')")</f>
        <v>--</v>
      </c>
      <c r="AA237" s="117"/>
      <c r="AB237" s="111"/>
      <c r="AC237" s="193"/>
    </row>
    <row r="238" spans="1:29" outlineLevel="1" x14ac:dyDescent="0.15">
      <c r="A238" s="276"/>
      <c r="B238" s="140"/>
      <c r="C238" s="140"/>
      <c r="D238" s="140"/>
      <c r="E238" s="140"/>
      <c r="F238" s="140"/>
      <c r="G238" s="140"/>
      <c r="H238" s="140"/>
      <c r="I238" s="140"/>
      <c r="J238" s="140"/>
      <c r="K238" s="140"/>
      <c r="L238" s="140"/>
      <c r="P238" s="117"/>
      <c r="Q238" s="117"/>
      <c r="R238" s="117"/>
      <c r="S238" s="117"/>
      <c r="T238" s="117"/>
      <c r="U238" s="191"/>
      <c r="V238" s="119"/>
      <c r="W238" s="119"/>
      <c r="X238" s="117"/>
      <c r="Y238" s="117"/>
      <c r="Z238" s="117"/>
      <c r="AA238" s="117"/>
      <c r="AB238" s="111"/>
      <c r="AC238" s="193"/>
    </row>
    <row r="239" spans="1:29" outlineLevel="1" x14ac:dyDescent="0.15">
      <c r="B239" s="140"/>
      <c r="C239" s="140"/>
      <c r="D239" s="140"/>
      <c r="E239" s="140"/>
      <c r="F239" s="140"/>
      <c r="G239" s="140"/>
      <c r="H239" s="140"/>
      <c r="I239" s="140"/>
      <c r="J239" s="140"/>
      <c r="K239" s="140"/>
      <c r="L239" s="140"/>
      <c r="P239" s="117"/>
      <c r="Q239" s="117"/>
      <c r="R239" s="117"/>
      <c r="S239" s="117"/>
      <c r="T239" s="117"/>
      <c r="U239" s="191"/>
      <c r="V239" s="119"/>
      <c r="W239" s="119"/>
      <c r="X239" s="117"/>
      <c r="Y239" s="117"/>
      <c r="Z239" s="117"/>
      <c r="AA239" s="145"/>
      <c r="AB239" s="111"/>
      <c r="AC239" s="193"/>
    </row>
    <row r="240" spans="1:29" outlineLevel="1" x14ac:dyDescent="0.15">
      <c r="B240" s="140"/>
      <c r="C240" s="140"/>
      <c r="D240" s="140"/>
      <c r="E240" s="140"/>
      <c r="F240" s="140"/>
      <c r="G240" s="140"/>
      <c r="H240" s="140"/>
      <c r="I240" s="140"/>
      <c r="J240" s="140"/>
      <c r="K240" s="140"/>
      <c r="L240" s="140"/>
      <c r="P240" s="117"/>
      <c r="Q240" s="117"/>
      <c r="R240" s="117"/>
      <c r="S240" s="117"/>
      <c r="T240" s="117"/>
      <c r="U240" s="191"/>
      <c r="V240" s="119"/>
      <c r="W240" s="119"/>
      <c r="X240" s="117"/>
      <c r="Y240" s="117"/>
      <c r="Z240" s="117"/>
      <c r="AA240" s="145"/>
      <c r="AB240" s="111"/>
      <c r="AC240" s="193"/>
    </row>
    <row r="241" spans="1:46" outlineLevel="1" x14ac:dyDescent="0.15">
      <c r="B241" s="140"/>
      <c r="C241" s="140"/>
      <c r="D241" s="140"/>
      <c r="E241" s="140"/>
      <c r="F241" s="140"/>
      <c r="G241" s="140"/>
      <c r="H241" s="140"/>
      <c r="I241" s="140"/>
      <c r="J241" s="140"/>
      <c r="K241" s="140"/>
      <c r="L241" s="140"/>
      <c r="P241" s="117"/>
      <c r="Q241" s="117"/>
      <c r="R241" s="117"/>
      <c r="S241" s="117"/>
      <c r="T241" s="117"/>
      <c r="U241" s="191"/>
      <c r="V241" s="119"/>
      <c r="W241" s="119"/>
      <c r="X241" s="117"/>
      <c r="Y241" s="117"/>
      <c r="Z241" s="117"/>
      <c r="AA241" s="117"/>
      <c r="AB241" s="111"/>
      <c r="AC241" s="193"/>
    </row>
    <row r="242" spans="1:46" outlineLevel="1" x14ac:dyDescent="0.15">
      <c r="B242" s="140"/>
      <c r="C242" s="140"/>
      <c r="D242" s="140"/>
      <c r="E242" s="140"/>
      <c r="F242" s="140"/>
      <c r="G242" s="140"/>
      <c r="H242" s="140"/>
      <c r="I242" s="140"/>
      <c r="J242" s="140"/>
      <c r="K242" s="140"/>
      <c r="L242" s="140"/>
      <c r="P242" s="117"/>
      <c r="Q242" s="117"/>
      <c r="R242" s="117"/>
      <c r="S242" s="117"/>
      <c r="T242" s="117"/>
      <c r="U242" s="191"/>
      <c r="V242" s="119"/>
      <c r="W242" s="119"/>
      <c r="X242" s="117"/>
      <c r="Y242" s="117"/>
      <c r="Z242" s="117"/>
      <c r="AA242" s="117"/>
      <c r="AB242" s="111"/>
      <c r="AC242" s="193"/>
    </row>
    <row r="243" spans="1:46" outlineLevel="1" x14ac:dyDescent="0.15">
      <c r="B243" s="140"/>
      <c r="C243" s="140"/>
      <c r="D243" s="140"/>
      <c r="E243" s="140"/>
      <c r="F243" s="140"/>
      <c r="G243" s="140"/>
      <c r="H243" s="140"/>
      <c r="I243" s="140"/>
      <c r="J243" s="140"/>
      <c r="K243" s="140"/>
      <c r="L243" s="140"/>
      <c r="P243" s="117"/>
      <c r="Q243" s="117"/>
      <c r="R243" s="117"/>
      <c r="S243" s="117"/>
      <c r="T243" s="117"/>
      <c r="U243" s="191"/>
      <c r="V243" s="119"/>
      <c r="W243" s="119"/>
      <c r="X243" s="117"/>
      <c r="Y243" s="117"/>
      <c r="Z243" s="117"/>
      <c r="AA243" s="117"/>
      <c r="AB243" s="111"/>
      <c r="AC243" s="193"/>
    </row>
    <row r="244" spans="1:46" outlineLevel="1" x14ac:dyDescent="0.15">
      <c r="B244" s="140"/>
      <c r="C244" s="140"/>
      <c r="D244" s="140"/>
      <c r="E244" s="140"/>
      <c r="F244" s="140"/>
      <c r="G244" s="140"/>
      <c r="H244" s="140"/>
      <c r="I244" s="140"/>
      <c r="J244" s="140"/>
      <c r="K244" s="140"/>
      <c r="L244" s="140"/>
      <c r="P244" s="117"/>
      <c r="Q244" s="117"/>
      <c r="R244" s="117"/>
      <c r="S244" s="117"/>
      <c r="T244" s="117"/>
      <c r="U244" s="191"/>
      <c r="V244" s="119"/>
      <c r="W244" s="119"/>
      <c r="X244" s="117"/>
      <c r="Y244" s="117"/>
      <c r="Z244" s="117"/>
      <c r="AA244" s="117"/>
      <c r="AB244" s="111"/>
      <c r="AC244" s="193"/>
    </row>
    <row r="245" spans="1:46" outlineLevel="1" x14ac:dyDescent="0.15">
      <c r="B245" s="140"/>
      <c r="C245" s="140"/>
      <c r="D245" s="140"/>
      <c r="E245" s="140"/>
      <c r="F245" s="140"/>
      <c r="G245" s="140"/>
      <c r="H245" s="140"/>
      <c r="I245" s="140"/>
      <c r="J245" s="140"/>
      <c r="K245" s="140"/>
      <c r="L245" s="140"/>
      <c r="P245" s="117"/>
      <c r="Q245" s="117"/>
      <c r="R245" s="117"/>
      <c r="S245" s="117"/>
      <c r="T245" s="117"/>
      <c r="U245" s="191"/>
      <c r="V245" s="119"/>
      <c r="W245" s="119"/>
      <c r="X245" s="117"/>
      <c r="Y245" s="117"/>
      <c r="Z245" s="117"/>
      <c r="AA245" s="117"/>
      <c r="AB245" s="111"/>
      <c r="AC245" s="193"/>
    </row>
    <row r="246" spans="1:46" outlineLevel="1" x14ac:dyDescent="0.15">
      <c r="B246" s="140"/>
      <c r="C246" s="140"/>
      <c r="D246" s="140"/>
      <c r="E246" s="140"/>
      <c r="F246" s="140"/>
      <c r="G246" s="140"/>
      <c r="H246" s="140"/>
      <c r="I246" s="140"/>
      <c r="J246" s="140"/>
      <c r="K246" s="140"/>
      <c r="L246" s="140"/>
      <c r="P246" s="117"/>
      <c r="Q246" s="117"/>
      <c r="R246" s="117"/>
      <c r="S246" s="117"/>
      <c r="T246" s="117"/>
      <c r="U246" s="191"/>
      <c r="V246" s="119"/>
      <c r="W246" s="119"/>
      <c r="X246" s="117"/>
      <c r="Y246" s="117"/>
      <c r="Z246" s="117"/>
      <c r="AA246" s="117"/>
      <c r="AB246" s="111"/>
      <c r="AC246" s="193"/>
    </row>
    <row r="247" spans="1:46" outlineLevel="1" x14ac:dyDescent="0.15">
      <c r="B247" s="140"/>
      <c r="C247" s="140"/>
      <c r="D247" s="140"/>
      <c r="E247" s="140"/>
      <c r="F247" s="140"/>
      <c r="G247" s="140"/>
      <c r="H247" s="140"/>
      <c r="I247" s="140"/>
      <c r="J247" s="140"/>
      <c r="K247" s="140"/>
      <c r="L247" s="140"/>
      <c r="P247" s="117"/>
      <c r="Q247" s="117"/>
      <c r="R247" s="117"/>
      <c r="S247" s="117"/>
      <c r="T247" s="117"/>
      <c r="U247" s="191"/>
      <c r="V247" s="147" t="s">
        <v>78</v>
      </c>
      <c r="W247" s="147" t="s">
        <v>149</v>
      </c>
      <c r="X247" s="145" t="str" cm="1">
        <f t="array" ref="X247">_xll.FDSC("--",$A$1,""&amp;$V247&amp;"("&amp;$W247&amp;","&amp;D$2&amp;",ANNUAL_ROLL,+1,0,,,'CURRENCY="&amp;$E$1&amp;"')")</f>
        <v>--</v>
      </c>
      <c r="Y247" s="145" t="str" cm="1">
        <f t="array" ref="Y247">_xll.FDSC("--",$A$1,""&amp;$V247&amp;"("&amp;$W247&amp;","&amp;D$2&amp;",ANNUAL_ROLL,+2,0,,,'CURRENCY="&amp;$E$1&amp;"')")</f>
        <v>--</v>
      </c>
      <c r="Z247" s="145" t="str" cm="1">
        <f t="array" ref="Z247">_xll.FDSC("--",$A$1,""&amp;$V247&amp;"("&amp;$W247&amp;","&amp;D$2&amp;",ANNUAL_ROLL,+3,0,,,'CURRENCY="&amp;$E$1&amp;"')")</f>
        <v>--</v>
      </c>
      <c r="AA247" s="117"/>
      <c r="AB247" s="111"/>
      <c r="AC247" s="193"/>
    </row>
    <row r="248" spans="1:46" outlineLevel="1" x14ac:dyDescent="0.15">
      <c r="B248" s="140"/>
      <c r="C248" s="140"/>
      <c r="D248" s="140"/>
      <c r="E248" s="140"/>
      <c r="F248" s="140"/>
      <c r="G248" s="140"/>
      <c r="H248" s="140"/>
      <c r="I248" s="140"/>
      <c r="J248" s="140"/>
      <c r="K248" s="140"/>
      <c r="L248" s="140"/>
      <c r="P248" s="117"/>
      <c r="Q248" s="117"/>
      <c r="R248" s="117"/>
      <c r="S248" s="117"/>
      <c r="T248" s="117"/>
      <c r="U248" s="191"/>
      <c r="V248" s="119"/>
      <c r="W248" s="119"/>
      <c r="X248" s="117"/>
      <c r="Y248" s="117"/>
      <c r="Z248" s="117"/>
      <c r="AA248" s="117"/>
      <c r="AB248" s="111"/>
      <c r="AC248" s="193"/>
    </row>
    <row r="249" spans="1:46" outlineLevel="1" x14ac:dyDescent="0.15">
      <c r="B249" s="140"/>
      <c r="C249" s="140"/>
      <c r="D249" s="140"/>
      <c r="E249" s="140"/>
      <c r="F249" s="140"/>
      <c r="G249" s="140"/>
      <c r="H249" s="140"/>
      <c r="I249" s="140"/>
      <c r="J249" s="140"/>
      <c r="K249" s="140"/>
      <c r="L249" s="140"/>
      <c r="P249" s="117"/>
      <c r="Q249" s="117"/>
      <c r="R249" s="117"/>
      <c r="S249" s="117"/>
      <c r="T249" s="117"/>
      <c r="U249" s="191"/>
      <c r="V249" s="119"/>
      <c r="W249" s="119"/>
      <c r="X249" s="117"/>
      <c r="Y249" s="117"/>
      <c r="Z249" s="117"/>
      <c r="AA249" s="117"/>
      <c r="AB249" s="111"/>
      <c r="AC249" s="193"/>
    </row>
    <row r="250" spans="1:46" outlineLevel="1" x14ac:dyDescent="0.15">
      <c r="B250" s="140"/>
      <c r="C250" s="140"/>
      <c r="D250" s="140"/>
      <c r="E250" s="140"/>
      <c r="F250" s="140"/>
      <c r="G250" s="140"/>
      <c r="H250" s="140"/>
      <c r="I250" s="140"/>
      <c r="J250" s="140"/>
      <c r="K250" s="140"/>
      <c r="L250" s="140"/>
      <c r="P250" s="117"/>
      <c r="Q250" s="117"/>
      <c r="R250" s="117"/>
      <c r="S250" s="117"/>
      <c r="T250" s="117"/>
      <c r="U250" s="191"/>
      <c r="V250" s="119"/>
      <c r="W250" s="119"/>
      <c r="X250" s="117"/>
      <c r="Y250" s="117"/>
      <c r="Z250" s="117"/>
      <c r="AA250" s="117"/>
      <c r="AB250" s="111"/>
      <c r="AC250" s="193"/>
    </row>
    <row r="251" spans="1:46" outlineLevel="1" x14ac:dyDescent="0.15">
      <c r="B251" s="140"/>
      <c r="C251" s="140"/>
      <c r="D251" s="140"/>
      <c r="E251" s="140"/>
      <c r="F251" s="140"/>
      <c r="G251" s="140"/>
      <c r="H251" s="140"/>
      <c r="I251" s="140"/>
      <c r="J251" s="140"/>
      <c r="K251" s="140"/>
      <c r="L251" s="140"/>
      <c r="P251" s="117"/>
      <c r="Q251" s="117"/>
      <c r="R251" s="117"/>
      <c r="S251" s="117"/>
      <c r="T251" s="117"/>
      <c r="U251" s="191"/>
      <c r="V251" s="119"/>
      <c r="W251" s="119"/>
      <c r="X251" s="117"/>
      <c r="Y251" s="117"/>
      <c r="Z251" s="117"/>
      <c r="AA251" s="117"/>
      <c r="AB251" s="111"/>
      <c r="AC251" s="193"/>
    </row>
    <row r="252" spans="1:46" outlineLevel="1" x14ac:dyDescent="0.15">
      <c r="B252" s="140"/>
      <c r="C252" s="140"/>
      <c r="D252" s="140"/>
      <c r="E252" s="140"/>
      <c r="F252" s="140"/>
      <c r="G252" s="140"/>
      <c r="H252" s="140"/>
      <c r="I252" s="140"/>
      <c r="J252" s="140"/>
      <c r="K252" s="140"/>
      <c r="L252" s="140"/>
      <c r="P252" s="117"/>
      <c r="Q252" s="117"/>
      <c r="R252" s="117"/>
      <c r="S252" s="117"/>
      <c r="T252" s="117"/>
      <c r="U252" s="191"/>
      <c r="V252" s="119"/>
      <c r="W252" s="119"/>
      <c r="X252" s="117"/>
      <c r="Y252" s="117"/>
      <c r="Z252" s="117"/>
      <c r="AA252" s="145"/>
      <c r="AB252" s="111"/>
      <c r="AC252" s="193"/>
    </row>
    <row r="253" spans="1:46" outlineLevel="1" x14ac:dyDescent="0.15">
      <c r="B253" s="140"/>
      <c r="C253" s="140"/>
      <c r="D253" s="140"/>
      <c r="E253" s="140"/>
      <c r="F253" s="140"/>
      <c r="G253" s="140"/>
      <c r="H253" s="140"/>
      <c r="I253" s="140"/>
      <c r="J253" s="140"/>
      <c r="K253" s="140"/>
      <c r="L253" s="140"/>
      <c r="P253" s="117"/>
      <c r="Q253" s="117"/>
      <c r="R253" s="117"/>
      <c r="S253" s="117"/>
      <c r="T253" s="117"/>
      <c r="U253" s="191"/>
      <c r="V253" s="119"/>
      <c r="W253" s="119"/>
      <c r="X253" s="117"/>
      <c r="Y253" s="117"/>
      <c r="Z253" s="117"/>
      <c r="AA253" s="117"/>
      <c r="AB253" s="111"/>
      <c r="AC253" s="193"/>
    </row>
    <row r="254" spans="1:46" x14ac:dyDescent="0.15">
      <c r="A254" s="181" t="s">
        <v>128</v>
      </c>
      <c r="B254" s="140" t="str" cm="1">
        <f t="array" ref="B254">IFERROR(_xll.FDS($A$1,""&amp;#REF!&amp;"("&amp;(CHOOSE($C$1,$AE$4,#REF!))&amp;","&amp;B$7&amp;",,,,"&amp;$E$1&amp;")"),"")</f>
        <v/>
      </c>
      <c r="C254" s="140" t="str" cm="1">
        <f t="array" ref="C254">IFERROR(_xll.FDS($A$1,""&amp;#REF!&amp;"("&amp;(CHOOSE($C$1,$AE$4,#REF!))&amp;","&amp;C$7&amp;",,,,"&amp;$E$1&amp;")"),"")</f>
        <v/>
      </c>
      <c r="D254" s="140" t="str" cm="1">
        <f t="array" ref="D254">IFERROR(_xll.FDS($A$1,""&amp;#REF!&amp;"("&amp;(CHOOSE($C$1,$AE$4,#REF!))&amp;","&amp;D$7&amp;",,,,"&amp;$E$1&amp;")"),"")</f>
        <v/>
      </c>
      <c r="E254" s="140" t="str" cm="1">
        <f t="array" ref="E254">IFERROR(_xll.FDS($A$1,""&amp;#REF!&amp;"("&amp;(CHOOSE($C$1,$AE$4,#REF!))&amp;","&amp;E$7&amp;",,,,"&amp;$E$1&amp;")"),"")</f>
        <v/>
      </c>
      <c r="F254" s="140" t="str" cm="1">
        <f t="array" ref="F254">IFERROR(_xll.FDS($A$1,""&amp;#REF!&amp;"("&amp;(CHOOSE($C$1,$AE$4,#REF!))&amp;","&amp;F$7&amp;",,,,"&amp;$E$1&amp;")"),"")</f>
        <v/>
      </c>
      <c r="G254" s="140" t="str" cm="1">
        <f t="array" ref="G254">IFERROR(_xll.FDS($A$1,""&amp;#REF!&amp;"("&amp;(CHOOSE($C$1,$AE$4,#REF!))&amp;","&amp;G$7&amp;",,,,"&amp;$E$1&amp;")"),"")</f>
        <v/>
      </c>
      <c r="H254" s="140" t="str" cm="1">
        <f t="array" ref="H254">IFERROR(_xll.FDS($A$1,""&amp;#REF!&amp;"("&amp;(CHOOSE($C$1,$AE$4,#REF!))&amp;","&amp;H$7&amp;",,,,"&amp;$E$1&amp;")"),"")</f>
        <v/>
      </c>
      <c r="I254" s="140" t="str" cm="1">
        <f t="array" ref="I254">IFERROR(_xll.FDS($A$1,""&amp;#REF!&amp;"("&amp;(CHOOSE($C$1,$AE$4,#REF!))&amp;","&amp;I$7&amp;",,,,"&amp;$E$1&amp;")"),"")</f>
        <v/>
      </c>
      <c r="J254" s="140" t="str" cm="1">
        <f t="array" ref="J254">IFERROR(_xll.FDS($A$1,""&amp;#REF!&amp;"("&amp;(CHOOSE($C$1,$AE$4,#REF!))&amp;","&amp;J$7&amp;",,,,"&amp;$E$1&amp;")"),"")</f>
        <v/>
      </c>
      <c r="K254" s="140" t="str" cm="1">
        <f t="array" ref="K254">IFERROR(_xll.FDS($A$1,""&amp;#REF!&amp;"("&amp;(CHOOSE($C$1,$AE$4,#REF!))&amp;","&amp;K$7&amp;",,,,"&amp;$E$1&amp;")"),"")</f>
        <v/>
      </c>
      <c r="L254" s="140" t="str" cm="1">
        <f t="array" ref="L254">IFERROR(_xll.FDS($A$1,""&amp;#REF!&amp;"("&amp;(CHOOSE($C$1,$AE$4,#REF!))&amp;","&amp;L$7&amp;",,,,"&amp;$E$1&amp;")"),"")</f>
        <v/>
      </c>
      <c r="P254" s="117"/>
      <c r="Q254" s="117"/>
      <c r="R254" s="117"/>
      <c r="S254" s="117"/>
      <c r="T254" s="117"/>
      <c r="U254" s="191"/>
      <c r="V254" s="119"/>
      <c r="W254" s="119"/>
      <c r="X254" s="117"/>
      <c r="Y254" s="117"/>
      <c r="Z254" s="117"/>
      <c r="AA254" s="117"/>
      <c r="AB254" s="111"/>
      <c r="AC254" s="193"/>
    </row>
    <row r="255" spans="1:46" s="92" customFormat="1" x14ac:dyDescent="0.15">
      <c r="A255" s="181" t="s">
        <v>129</v>
      </c>
      <c r="B255" s="140"/>
      <c r="C255" s="140"/>
      <c r="D255" s="140"/>
      <c r="E255" s="140"/>
      <c r="F255" s="140"/>
      <c r="G255" s="140"/>
      <c r="H255" s="140"/>
      <c r="I255" s="140"/>
      <c r="J255" s="140"/>
      <c r="K255" s="140"/>
      <c r="L255" s="140"/>
      <c r="M255" s="75"/>
      <c r="N255" s="75"/>
      <c r="O255" s="75"/>
      <c r="P255" s="117"/>
      <c r="Q255" s="117"/>
      <c r="R255" s="117"/>
      <c r="S255" s="117"/>
      <c r="T255" s="117"/>
      <c r="U255" s="187"/>
      <c r="V255" s="119"/>
      <c r="W255" s="119"/>
      <c r="X255" s="117"/>
      <c r="Y255" s="117"/>
      <c r="Z255" s="117"/>
      <c r="AA255" s="117"/>
      <c r="AB255" s="189"/>
      <c r="AC255" s="190"/>
      <c r="AJ255" s="78"/>
      <c r="AK255" s="78"/>
      <c r="AL255" s="78"/>
      <c r="AM255" s="78"/>
      <c r="AN255" s="78"/>
      <c r="AO255" s="78"/>
      <c r="AP255" s="78"/>
      <c r="AQ255" s="78"/>
      <c r="AR255" s="78"/>
      <c r="AS255" s="78"/>
      <c r="AT255" s="78"/>
    </row>
    <row r="256" spans="1:46" s="92" customFormat="1" outlineLevel="1" x14ac:dyDescent="0.15">
      <c r="A256" s="78" t="s">
        <v>99</v>
      </c>
      <c r="B256" s="140">
        <f>CHOOSE(IF($B$1=2,2,1),'GAAP-IFRS'!E50,IF('Broker Actual'!E50="-",'GAAP-IFRS'!E50,'Broker Actual'!E50))</f>
        <v>894.4</v>
      </c>
      <c r="C256" s="140">
        <f>CHOOSE(IF($B$1=2,2,1),'GAAP-IFRS'!F50,IF('Broker Actual'!F50="-",'GAAP-IFRS'!F50,'Broker Actual'!F50))</f>
        <v>858.1</v>
      </c>
      <c r="D256" s="140">
        <f>CHOOSE(IF($B$1=2,2,1),'GAAP-IFRS'!G50,IF('Broker Actual'!G50="-",'GAAP-IFRS'!G50,'Broker Actual'!G50))</f>
        <v>413.4</v>
      </c>
      <c r="E256" s="140">
        <f>CHOOSE(IF($B$1=2,2,1),'GAAP-IFRS'!H50,IF('Broker Actual'!H50="-",'GAAP-IFRS'!H50,'Broker Actual'!H50))</f>
        <v>867.1</v>
      </c>
      <c r="F256" s="140">
        <f>CHOOSE(IF($B$1=2,2,1),'GAAP-IFRS'!I50,IF('Broker Actual'!I50="-",'GAAP-IFRS'!I50,'Broker Actual'!I50))</f>
        <v>931.4</v>
      </c>
      <c r="G256" s="140">
        <f>CHOOSE(IF($B$1=2,2,1),'GAAP-IFRS'!J50,IF('Broker Actual'!J50="-",'GAAP-IFRS'!J50,'Broker Actual'!J50))</f>
        <v>994.2</v>
      </c>
      <c r="H256" s="140">
        <f>CHOOSE(IF($B$1=2,2,1),'GAAP-IFRS'!K50,IF('Broker Actual'!K50="-",'GAAP-IFRS'!K50,'Broker Actual'!K50))</f>
        <v>523.4</v>
      </c>
      <c r="I256" s="140">
        <f>CHOOSE(IF($B$1=2,2,1),'GAAP-IFRS'!L50,IF('Broker Actual'!L50="-",'GAAP-IFRS'!L50,'Broker Actual'!L50))</f>
        <v>1100.3</v>
      </c>
      <c r="J256" s="140">
        <f>CHOOSE(IF($B$1=2,2,1),'GAAP-IFRS'!M50,IF('Broker Actual'!M50="-",'GAAP-IFRS'!M50,'Broker Actual'!M50))</f>
        <v>1005.4</v>
      </c>
      <c r="K256" s="140">
        <f>CHOOSE(IF($B$1=2,2,1),'GAAP-IFRS'!N50,IF('Broker Actual'!N50="-",'GAAP-IFRS'!N50,'Broker Actual'!N50))</f>
        <v>890.7</v>
      </c>
      <c r="L256" s="140">
        <f>CHOOSE(IF($B$1=2,2,1),'GAAP-IFRS'!O50,IF('Broker Actual'!O50="-",'GAAP-IFRS'!O50,'Broker Actual'!O50))</f>
        <v>1254.3</v>
      </c>
      <c r="M256" s="139">
        <f>M115</f>
        <v>1520.4016404642539</v>
      </c>
      <c r="N256" s="139">
        <f>N115</f>
        <v>1595.6321222692222</v>
      </c>
      <c r="O256" s="139">
        <f>O115</f>
        <v>1634.1840958010164</v>
      </c>
      <c r="P256" s="139">
        <f>P115</f>
        <v>1501.0262613942195</v>
      </c>
      <c r="Q256" s="139">
        <f>Q115</f>
        <v>1434.8443207052128</v>
      </c>
      <c r="R256" s="117"/>
      <c r="S256" s="117"/>
      <c r="T256" s="117"/>
      <c r="U256" s="187"/>
      <c r="V256" s="119"/>
      <c r="W256" s="119"/>
      <c r="X256" s="117"/>
      <c r="Y256" s="117"/>
      <c r="Z256" s="117"/>
      <c r="AA256" s="117"/>
      <c r="AB256" s="189"/>
      <c r="AC256" s="190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</row>
    <row r="257" spans="1:29" outlineLevel="1" x14ac:dyDescent="0.15">
      <c r="A257" s="77" t="s">
        <v>131</v>
      </c>
      <c r="B257" s="140">
        <f>CHOOSE(IF($B$1=2,2,1),'GAAP-IFRS'!E51,IF('Broker Actual'!E51="-",'GAAP-IFRS'!E51,'Broker Actual'!E51))</f>
        <v>84.3</v>
      </c>
      <c r="C257" s="140">
        <f>CHOOSE(IF($B$1=2,2,1),'GAAP-IFRS'!F51,IF('Broker Actual'!F51="-",'GAAP-IFRS'!F51,'Broker Actual'!F51))</f>
        <v>84.8</v>
      </c>
      <c r="D257" s="140">
        <f>CHOOSE(IF($B$1=2,2,1),'GAAP-IFRS'!G51,IF('Broker Actual'!G51="-",'GAAP-IFRS'!G51,'Broker Actual'!G51))</f>
        <v>87.9</v>
      </c>
      <c r="E257" s="140">
        <f>CHOOSE(IF($B$1=2,2,1),'GAAP-IFRS'!H51,IF('Broker Actual'!H51="-",'GAAP-IFRS'!H51,'Broker Actual'!H51))</f>
        <v>99.5</v>
      </c>
      <c r="F257" s="140">
        <f>CHOOSE(IF($B$1=2,2,1),'GAAP-IFRS'!I51,IF('Broker Actual'!I51="-",'GAAP-IFRS'!I51,'Broker Actual'!I51))</f>
        <v>101.7</v>
      </c>
      <c r="G257" s="140">
        <f>CHOOSE(IF($B$1=2,2,1),'GAAP-IFRS'!J51,IF('Broker Actual'!J51="-",'GAAP-IFRS'!J51,'Broker Actual'!J51))</f>
        <v>103.4</v>
      </c>
      <c r="H257" s="140">
        <f>CHOOSE(IF($B$1=2,2,1),'GAAP-IFRS'!K51,IF('Broker Actual'!K51="-",'GAAP-IFRS'!K51,'Broker Actual'!K51))</f>
        <v>101.4</v>
      </c>
      <c r="I257" s="140">
        <f>CHOOSE(IF($B$1=2,2,1),'GAAP-IFRS'!L51,IF('Broker Actual'!L51="-",'GAAP-IFRS'!L51,'Broker Actual'!L51))</f>
        <v>110.1</v>
      </c>
      <c r="J257" s="140">
        <f>CHOOSE(IF($B$1=2,2,1),'GAAP-IFRS'!M51,IF('Broker Actual'!M51="-",'GAAP-IFRS'!M51,'Broker Actual'!M51))</f>
        <v>113.6</v>
      </c>
      <c r="K257" s="140">
        <f>CHOOSE(IF($B$1=2,2,1),'GAAP-IFRS'!N51,IF('Broker Actual'!N51="-",'GAAP-IFRS'!N51,'Broker Actual'!N51))</f>
        <v>119.8</v>
      </c>
      <c r="L257" s="140">
        <f>CHOOSE(IF($B$1=2,2,1),'GAAP-IFRS'!O51,IF('Broker Actual'!O51="-",'GAAP-IFRS'!O51,'Broker Actual'!O51))</f>
        <v>110.5</v>
      </c>
      <c r="M257" s="139">
        <f>M258*M37</f>
        <v>99.570712810046999</v>
      </c>
      <c r="N257" s="139">
        <f>N258*N37</f>
        <v>107.27277621197203</v>
      </c>
      <c r="O257" s="139">
        <f>O258*O37</f>
        <v>110.0835470494427</v>
      </c>
      <c r="P257" s="139">
        <f>P258*P37</f>
        <v>111.54939713248741</v>
      </c>
      <c r="Q257" s="139">
        <f>Q258*Q37</f>
        <v>112.30598766083537</v>
      </c>
      <c r="R257" s="117"/>
      <c r="S257" s="117"/>
      <c r="T257" s="117"/>
      <c r="U257" s="118"/>
      <c r="V257" s="119"/>
      <c r="W257" s="119"/>
      <c r="X257" s="117"/>
      <c r="Y257" s="117"/>
      <c r="Z257" s="117"/>
      <c r="AA257" s="117"/>
      <c r="AB257" s="117" cm="1">
        <f t="array" ref="AB257">_xll.FDSC("--",$A$1,"FF_FUNDS_OPER_GROSS(LTM_R,0,,,,"&amp;$E$1&amp;")@FF_FUNDS_OPER_GROSS(LTM_SEMI_R,0,,,,"&amp;$E$1&amp;")")</f>
        <v>1122.2</v>
      </c>
      <c r="AC257" s="120"/>
    </row>
    <row r="258" spans="1:29" outlineLevel="1" x14ac:dyDescent="0.15">
      <c r="A258" s="128" t="s">
        <v>110</v>
      </c>
      <c r="B258" s="138">
        <f t="shared" ref="B258:L258" si="351">IFERROR(B257/B$49,"")</f>
        <v>8.0168134355326475E-3</v>
      </c>
      <c r="C258" s="138">
        <f t="shared" si="351"/>
        <v>8.1902296741293047E-3</v>
      </c>
      <c r="D258" s="138">
        <f t="shared" si="351"/>
        <v>8.3637021037708016E-3</v>
      </c>
      <c r="E258" s="138">
        <f t="shared" si="351"/>
        <v>9.2719428214661798E-3</v>
      </c>
      <c r="F258" s="138">
        <f t="shared" si="351"/>
        <v>9.2065360068800083E-3</v>
      </c>
      <c r="G258" s="138">
        <f t="shared" si="351"/>
        <v>9.1611439912109727E-3</v>
      </c>
      <c r="H258" s="138">
        <f t="shared" si="351"/>
        <v>8.7425098073026682E-3</v>
      </c>
      <c r="I258" s="138">
        <f t="shared" si="351"/>
        <v>9.1758411187692207E-3</v>
      </c>
      <c r="J258" s="138">
        <f>IFERROR(J257/J$49,"")</f>
        <v>8.6308415830300637E-3</v>
      </c>
      <c r="K258" s="138">
        <f t="shared" si="351"/>
        <v>9.9718656877923733E-3</v>
      </c>
      <c r="L258" s="138">
        <f t="shared" si="351"/>
        <v>9.215244766908515E-3</v>
      </c>
      <c r="M258" s="486">
        <v>8.0000000000000002E-3</v>
      </c>
      <c r="N258" s="486">
        <v>8.0000000000000002E-3</v>
      </c>
      <c r="O258" s="486">
        <v>8.0000000000000002E-3</v>
      </c>
      <c r="P258" s="486">
        <v>8.0000000000000002E-3</v>
      </c>
      <c r="Q258" s="486">
        <v>8.0000000000000002E-3</v>
      </c>
      <c r="R258" s="117"/>
      <c r="S258" s="117"/>
      <c r="T258" s="117"/>
      <c r="U258" s="118"/>
      <c r="V258" s="119"/>
      <c r="W258" s="119"/>
      <c r="X258" s="117"/>
      <c r="Y258" s="117"/>
      <c r="Z258" s="117"/>
      <c r="AA258" s="117"/>
      <c r="AB258" s="117"/>
      <c r="AC258" s="120"/>
    </row>
    <row r="259" spans="1:29" outlineLevel="1" x14ac:dyDescent="0.15">
      <c r="A259" s="77" t="s">
        <v>132</v>
      </c>
      <c r="B259" s="140">
        <f>CHOOSE(IF($B$1=2,2,1),'GAAP-IFRS'!E47,IF('Broker Actual'!E47="-",'GAAP-IFRS'!E47,'Broker Actual'!E47))</f>
        <v>0</v>
      </c>
      <c r="C259" s="139" t="str">
        <f>CHOOSE(IF($B$1=2,2,1),'GAAP-IFRS'!F52,IF('Broker Actual'!F52="-",'GAAP-IFRS'!F52,'Broker Actual'!F52))</f>
        <v/>
      </c>
      <c r="D259" s="139" t="str">
        <f>CHOOSE(IF($B$1=2,2,1),'GAAP-IFRS'!G52,IF('Broker Actual'!G52="-",'GAAP-IFRS'!G52,'Broker Actual'!G52))</f>
        <v/>
      </c>
      <c r="E259" s="139" t="str">
        <f>CHOOSE(IF($B$1=2,2,1),'GAAP-IFRS'!H52,IF('Broker Actual'!H52="-",'GAAP-IFRS'!H52,'Broker Actual'!H52))</f>
        <v/>
      </c>
      <c r="F259" s="139" t="str">
        <f>CHOOSE(IF($B$1=2,2,1),'GAAP-IFRS'!I52,IF('Broker Actual'!I52="-",'GAAP-IFRS'!I52,'Broker Actual'!I52))</f>
        <v/>
      </c>
      <c r="G259" s="139" t="str">
        <f>CHOOSE(IF($B$1=2,2,1),'GAAP-IFRS'!J52,IF('Broker Actual'!J52="-",'GAAP-IFRS'!J52,'Broker Actual'!J52))</f>
        <v/>
      </c>
      <c r="H259" s="139" t="str">
        <f>CHOOSE(IF($B$1=2,2,1),'GAAP-IFRS'!K52,IF('Broker Actual'!K52="-",'GAAP-IFRS'!K52,'Broker Actual'!K52))</f>
        <v/>
      </c>
      <c r="I259" s="139" t="str">
        <f>CHOOSE(IF($B$1=2,2,1),'GAAP-IFRS'!L52,IF('Broker Actual'!L52="-",'GAAP-IFRS'!L52,'Broker Actual'!L52))</f>
        <v/>
      </c>
      <c r="J259" s="139" t="str">
        <f>CHOOSE(IF($B$1=2,2,1),'GAAP-IFRS'!M52,IF('Broker Actual'!M52="-",'GAAP-IFRS'!M52,'Broker Actual'!M52))</f>
        <v/>
      </c>
      <c r="K259" s="139" t="str">
        <f>CHOOSE(IF($B$1=2,2,1),'GAAP-IFRS'!N52,IF('Broker Actual'!N52="-",'GAAP-IFRS'!N52,'Broker Actual'!N52))</f>
        <v/>
      </c>
      <c r="L259" s="139" t="str">
        <f>CHOOSE(IF($B$1=2,2,1),'GAAP-IFRS'!O52,IF('Broker Actual'!O52="-",'GAAP-IFRS'!O52,'Broker Actual'!O52))</f>
        <v/>
      </c>
      <c r="M259" s="139"/>
      <c r="N259" s="139"/>
      <c r="O259" s="139"/>
      <c r="P259" s="117"/>
      <c r="Q259" s="117"/>
      <c r="R259" s="117"/>
      <c r="S259" s="117"/>
      <c r="T259" s="117"/>
      <c r="U259" s="118"/>
      <c r="V259" s="119"/>
      <c r="W259" s="119"/>
      <c r="X259" s="117"/>
      <c r="Y259" s="117"/>
      <c r="Z259" s="117"/>
      <c r="AA259" s="117"/>
      <c r="AB259" s="117"/>
      <c r="AC259" s="120"/>
    </row>
    <row r="260" spans="1:29" outlineLevel="1" x14ac:dyDescent="0.15">
      <c r="A260" s="128" t="s">
        <v>110</v>
      </c>
      <c r="B260" s="140" t="str">
        <f>CHOOSE(IF($B$1=2,2,1),'GAAP-IFRS'!E53,IF('Broker Actual'!E53="-",'GAAP-IFRS'!E53,'Broker Actual'!E53))</f>
        <v/>
      </c>
      <c r="C260" s="253" t="str">
        <f>IFERROR(#REF!/C$61,"")</f>
        <v/>
      </c>
      <c r="D260" s="253" t="str">
        <f>IFERROR(C259/D$61,"")</f>
        <v/>
      </c>
      <c r="E260" s="253" t="str">
        <f t="shared" ref="E260:L260" si="352">IFERROR(E259/E$61,"")</f>
        <v/>
      </c>
      <c r="F260" s="253" t="str">
        <f t="shared" si="352"/>
        <v/>
      </c>
      <c r="G260" s="253" t="str">
        <f t="shared" si="352"/>
        <v/>
      </c>
      <c r="H260" s="253" t="str">
        <f t="shared" si="352"/>
        <v/>
      </c>
      <c r="I260" s="253" t="str">
        <f t="shared" si="352"/>
        <v/>
      </c>
      <c r="J260" s="253" t="str">
        <f t="shared" si="352"/>
        <v/>
      </c>
      <c r="K260" s="253" t="str">
        <f t="shared" si="352"/>
        <v/>
      </c>
      <c r="L260" s="253" t="str">
        <f t="shared" si="352"/>
        <v/>
      </c>
      <c r="M260" s="254"/>
      <c r="N260" s="254"/>
      <c r="O260" s="254"/>
      <c r="P260" s="117"/>
      <c r="Q260" s="117"/>
      <c r="R260" s="117"/>
      <c r="S260" s="117"/>
      <c r="T260" s="117"/>
      <c r="U260" s="118"/>
      <c r="V260" s="119"/>
      <c r="W260" s="119"/>
      <c r="X260" s="117"/>
      <c r="Y260" s="117"/>
      <c r="Z260" s="117"/>
      <c r="AA260" s="117"/>
      <c r="AB260" s="117"/>
      <c r="AC260" s="120"/>
    </row>
    <row r="261" spans="1:29" ht="15" outlineLevel="1" x14ac:dyDescent="0.15">
      <c r="A261" s="218" t="s">
        <v>390</v>
      </c>
      <c r="B261" s="140"/>
      <c r="C261" s="255">
        <v>572.5</v>
      </c>
      <c r="D261" s="255">
        <v>972.2</v>
      </c>
      <c r="E261" s="255">
        <v>293.89999999999998</v>
      </c>
      <c r="F261" s="255">
        <v>368.2</v>
      </c>
      <c r="G261" s="255">
        <v>441.9</v>
      </c>
      <c r="H261" s="255">
        <v>1193.0999999999999</v>
      </c>
      <c r="I261" s="255">
        <v>376.1</v>
      </c>
      <c r="J261" s="255">
        <v>1610</v>
      </c>
      <c r="K261" s="255">
        <v>153.30000000000001</v>
      </c>
      <c r="L261" s="255">
        <v>-218.2</v>
      </c>
      <c r="M261" s="139">
        <f>M262*M37</f>
        <v>124.46339101255876</v>
      </c>
      <c r="N261" s="139">
        <f>N262*N37</f>
        <v>424.34104140558878</v>
      </c>
      <c r="O261" s="139">
        <f>O262*O37</f>
        <v>436.28864243897107</v>
      </c>
      <c r="P261" s="139">
        <f>P262*P37</f>
        <v>189.39722403999261</v>
      </c>
      <c r="Q261" s="139">
        <f>Q262*Q37</f>
        <v>192.9916622853394</v>
      </c>
      <c r="R261" s="117"/>
      <c r="S261" s="117"/>
      <c r="T261" s="117"/>
      <c r="U261" s="118"/>
      <c r="V261" s="119"/>
      <c r="W261" s="119"/>
      <c r="X261" s="117"/>
      <c r="Y261" s="117"/>
      <c r="Z261" s="117"/>
      <c r="AA261" s="117"/>
      <c r="AB261" s="117"/>
      <c r="AC261" s="120"/>
    </row>
    <row r="262" spans="1:29" outlineLevel="1" x14ac:dyDescent="0.15">
      <c r="A262" s="128" t="s">
        <v>110</v>
      </c>
      <c r="B262" s="138">
        <f t="shared" ref="B262:L262" si="353">IFERROR(B261/B$49,"")</f>
        <v>0</v>
      </c>
      <c r="C262" s="138">
        <f t="shared" si="353"/>
        <v>5.5293708590082875E-2</v>
      </c>
      <c r="D262" s="138">
        <f t="shared" si="353"/>
        <v>9.25050191727642E-2</v>
      </c>
      <c r="E262" s="138">
        <f t="shared" si="353"/>
        <v>2.7387175831446328E-2</v>
      </c>
      <c r="F262" s="138">
        <f t="shared" si="353"/>
        <v>3.3331824559815322E-2</v>
      </c>
      <c r="G262" s="138">
        <f t="shared" si="353"/>
        <v>3.9151929687776872E-2</v>
      </c>
      <c r="H262" s="138">
        <f t="shared" si="353"/>
        <v>0.10286675001077725</v>
      </c>
      <c r="I262" s="138">
        <f t="shared" si="353"/>
        <v>3.1344539916158987E-2</v>
      </c>
      <c r="J262" s="138">
        <f>IFERROR(J261/J$49,"")</f>
        <v>0.12232090623836621</v>
      </c>
      <c r="K262" s="138">
        <f t="shared" si="353"/>
        <v>1.2760325625530641E-2</v>
      </c>
      <c r="L262" s="138">
        <f t="shared" si="353"/>
        <v>-1.8196981069135185E-2</v>
      </c>
      <c r="M262" s="369">
        <v>0.01</v>
      </c>
      <c r="N262" s="369">
        <f t="shared" ref="N262:Q262" si="354">AVERAGE(I262:M262)</f>
        <v>3.1645758142184136E-2</v>
      </c>
      <c r="O262" s="369">
        <f t="shared" si="354"/>
        <v>3.1706001787389158E-2</v>
      </c>
      <c r="P262" s="369">
        <f t="shared" si="354"/>
        <v>1.3583020897193748E-2</v>
      </c>
      <c r="Q262" s="369">
        <f t="shared" si="354"/>
        <v>1.3747559951526373E-2</v>
      </c>
      <c r="R262" s="117"/>
      <c r="S262" s="117"/>
      <c r="T262" s="117"/>
      <c r="U262" s="118"/>
      <c r="V262" s="119"/>
      <c r="W262" s="119"/>
      <c r="X262" s="117"/>
      <c r="Y262" s="117"/>
      <c r="Z262" s="117"/>
      <c r="AA262" s="117"/>
      <c r="AB262" s="117"/>
      <c r="AC262" s="120"/>
    </row>
    <row r="263" spans="1:29" ht="15" outlineLevel="1" x14ac:dyDescent="0.15">
      <c r="A263" s="218" t="s">
        <v>391</v>
      </c>
      <c r="B263" s="140"/>
      <c r="C263" s="255">
        <v>-6.8</v>
      </c>
      <c r="D263" s="255">
        <v>-16.100000000000001</v>
      </c>
      <c r="E263" s="255">
        <v>43.8</v>
      </c>
      <c r="F263" s="255">
        <v>-24.2</v>
      </c>
      <c r="G263" s="255">
        <v>-40.299999999999997</v>
      </c>
      <c r="H263" s="255">
        <v>39.5</v>
      </c>
      <c r="I263" s="255">
        <v>23.2</v>
      </c>
      <c r="J263" s="255">
        <v>-1199.0999999999999</v>
      </c>
      <c r="K263" s="255">
        <v>-76.7</v>
      </c>
      <c r="L263" s="255">
        <v>15.7</v>
      </c>
      <c r="M263" s="139">
        <f>AVERAGE(K263:L263)</f>
        <v>-30.5</v>
      </c>
      <c r="N263" s="139">
        <f t="shared" ref="N263:Q263" si="355">AVERAGE(L263:M263)</f>
        <v>-7.4</v>
      </c>
      <c r="O263" s="139">
        <f t="shared" si="355"/>
        <v>-18.95</v>
      </c>
      <c r="P263" s="139">
        <f t="shared" si="355"/>
        <v>-13.175000000000001</v>
      </c>
      <c r="Q263" s="139">
        <f t="shared" si="355"/>
        <v>-16.0625</v>
      </c>
      <c r="R263" s="117"/>
      <c r="S263" s="117"/>
      <c r="T263" s="117"/>
      <c r="U263" s="118"/>
      <c r="V263" s="119"/>
      <c r="W263" s="119"/>
      <c r="X263" s="117"/>
      <c r="Y263" s="117"/>
      <c r="Z263" s="117"/>
      <c r="AA263" s="117"/>
      <c r="AB263" s="117"/>
      <c r="AC263" s="120"/>
    </row>
    <row r="264" spans="1:29" outlineLevel="1" x14ac:dyDescent="0.15">
      <c r="A264" s="77" t="s">
        <v>522</v>
      </c>
      <c r="B264" s="140"/>
      <c r="C264" s="255">
        <v>-226.3</v>
      </c>
      <c r="D264" s="255">
        <v>-195.7</v>
      </c>
      <c r="E264" s="255">
        <v>-194.1</v>
      </c>
      <c r="F264" s="255">
        <v>-187.7</v>
      </c>
      <c r="G264" s="255">
        <v>-200.1</v>
      </c>
      <c r="H264" s="255">
        <v>-211.1</v>
      </c>
      <c r="I264" s="255">
        <v>-237.9</v>
      </c>
      <c r="J264" s="255">
        <v>-120.5</v>
      </c>
      <c r="K264" s="255">
        <v>-254.7</v>
      </c>
      <c r="L264" s="255">
        <v>-247</v>
      </c>
      <c r="M264" s="139">
        <f>AVERAGE(K264:L264)</f>
        <v>-250.85</v>
      </c>
      <c r="N264" s="139">
        <f t="shared" ref="N264" si="356">AVERAGE(L264:M264)</f>
        <v>-248.92500000000001</v>
      </c>
      <c r="O264" s="139">
        <f t="shared" ref="O264" si="357">AVERAGE(M264:N264)</f>
        <v>-249.88749999999999</v>
      </c>
      <c r="P264" s="139">
        <f t="shared" ref="P264" si="358">AVERAGE(N264:O264)</f>
        <v>-249.40625</v>
      </c>
      <c r="Q264" s="139">
        <f t="shared" ref="Q264" si="359">AVERAGE(O264:P264)</f>
        <v>-249.64687499999999</v>
      </c>
      <c r="R264" s="117"/>
      <c r="S264" s="117"/>
      <c r="T264" s="117"/>
      <c r="U264" s="118"/>
      <c r="V264" s="119"/>
      <c r="W264" s="119"/>
      <c r="X264" s="117"/>
      <c r="Y264" s="117"/>
      <c r="Z264" s="117"/>
      <c r="AA264" s="117"/>
      <c r="AB264" s="117"/>
      <c r="AC264" s="120"/>
    </row>
    <row r="265" spans="1:29" ht="15.75" customHeight="1" outlineLevel="1" x14ac:dyDescent="0.15">
      <c r="A265" s="77" t="s">
        <v>392</v>
      </c>
      <c r="B265" s="140"/>
      <c r="C265" s="255">
        <v>-196.7</v>
      </c>
      <c r="D265" s="255">
        <v>-21.5</v>
      </c>
      <c r="E265" s="255">
        <v>29.3</v>
      </c>
      <c r="F265" s="255">
        <v>-167.3</v>
      </c>
      <c r="G265" s="255">
        <v>-101.8</v>
      </c>
      <c r="H265" s="255">
        <v>-4.7</v>
      </c>
      <c r="I265" s="255">
        <v>37.5</v>
      </c>
      <c r="J265" s="255">
        <v>242.9</v>
      </c>
      <c r="K265" s="255">
        <v>678</v>
      </c>
      <c r="L265" s="255">
        <v>566</v>
      </c>
      <c r="M265" s="139">
        <f>AVERAGE(H265:L265)</f>
        <v>303.94</v>
      </c>
      <c r="N265" s="139">
        <f t="shared" ref="N265:Q265" si="360">AVERAGE(I265:M265)</f>
        <v>365.66800000000001</v>
      </c>
      <c r="O265" s="139">
        <f t="shared" si="360"/>
        <v>431.30160000000006</v>
      </c>
      <c r="P265" s="139">
        <f t="shared" si="360"/>
        <v>468.98192000000006</v>
      </c>
      <c r="Q265" s="139">
        <f t="shared" si="360"/>
        <v>427.17830400000003</v>
      </c>
      <c r="R265" s="117"/>
      <c r="S265" s="117"/>
      <c r="T265" s="117"/>
      <c r="U265" s="118"/>
      <c r="V265" s="119"/>
      <c r="W265" s="119"/>
      <c r="X265" s="117"/>
      <c r="Y265" s="117"/>
      <c r="Z265" s="117"/>
      <c r="AA265" s="117"/>
      <c r="AB265" s="117"/>
      <c r="AC265" s="120"/>
    </row>
    <row r="266" spans="1:29" outlineLevel="1" x14ac:dyDescent="0.15">
      <c r="A266" s="77" t="s">
        <v>393</v>
      </c>
      <c r="B266" s="138" t="str">
        <f>IFERROR(#REF!/B$49,"")</f>
        <v/>
      </c>
      <c r="C266" s="139">
        <v>-54.100000000000101</v>
      </c>
      <c r="D266" s="139">
        <v>-16.600000000000101</v>
      </c>
      <c r="E266" s="139">
        <v>152.6</v>
      </c>
      <c r="F266" s="139">
        <v>94</v>
      </c>
      <c r="G266" s="139">
        <v>-33.200000000000301</v>
      </c>
      <c r="H266" s="139">
        <v>-105.1</v>
      </c>
      <c r="I266" s="139">
        <v>332.3</v>
      </c>
      <c r="J266" s="139">
        <v>-1054.8</v>
      </c>
      <c r="K266" s="139">
        <v>-122.9</v>
      </c>
      <c r="L266" s="139">
        <v>-62.599999999999902</v>
      </c>
      <c r="M266" s="139">
        <f>AVERAGE(K266:L266)</f>
        <v>-92.749999999999957</v>
      </c>
      <c r="N266" s="139">
        <f t="shared" ref="N266:Q266" si="361">AVERAGE(L266:M266)</f>
        <v>-77.674999999999926</v>
      </c>
      <c r="O266" s="139">
        <f t="shared" si="361"/>
        <v>-85.212499999999949</v>
      </c>
      <c r="P266" s="139">
        <f t="shared" si="361"/>
        <v>-81.443749999999937</v>
      </c>
      <c r="Q266" s="139">
        <f t="shared" si="361"/>
        <v>-83.328124999999943</v>
      </c>
      <c r="R266" s="117"/>
      <c r="S266" s="117"/>
      <c r="T266" s="117"/>
      <c r="U266" s="118"/>
      <c r="V266" s="119"/>
      <c r="W266" s="119"/>
      <c r="X266" s="117"/>
      <c r="Y266" s="117"/>
      <c r="Z266" s="117"/>
      <c r="AA266" s="117"/>
      <c r="AB266" s="117"/>
      <c r="AC266" s="120"/>
    </row>
    <row r="267" spans="1:29" outlineLevel="1" x14ac:dyDescent="0.15">
      <c r="A267" s="108" t="s">
        <v>136</v>
      </c>
      <c r="B267" s="164">
        <f>CHOOSE(IF($B$1=2,2,1),'GAAP-IFRS'!E56,IF('Broker Actual'!E56="-",'GAAP-IFRS'!E56,'Broker Actual'!E56))</f>
        <v>1379.6</v>
      </c>
      <c r="C267" s="164">
        <f>CHOOSE(IF($B$1=2,2,1),'GAAP-IFRS'!F56,IF('Broker Actual'!F56="-",'GAAP-IFRS'!F56,'Broker Actual'!F56))</f>
        <v>1031.5</v>
      </c>
      <c r="D267" s="164">
        <f>CHOOSE(IF($B$1=2,2,1),'GAAP-IFRS'!G56,IF('Broker Actual'!G56="-",'GAAP-IFRS'!G56,'Broker Actual'!G56))</f>
        <v>1223.5999999999999</v>
      </c>
      <c r="E267" s="164">
        <f>CHOOSE(IF($B$1=2,2,1),'GAAP-IFRS'!H56,IF('Broker Actual'!H56="-",'GAAP-IFRS'!H56,'GAAP-IFRS'!H56))</f>
        <v>1292.0999999999999</v>
      </c>
      <c r="F267" s="164">
        <f>CHOOSE(IF($B$1=2,2,1),'GAAP-IFRS'!I56,IF('Broker Actual'!I56="-",'GAAP-IFRS'!I56,'GAAP-IFRS'!I56))</f>
        <v>1116.0999999999999</v>
      </c>
      <c r="G267" s="164">
        <f>CHOOSE(IF($B$1=2,2,1),'GAAP-IFRS'!J56,IF('Broker Actual'!J56="-",'GAAP-IFRS'!J56,'GAAP-IFRS'!J56))</f>
        <v>1164.0999999999999</v>
      </c>
      <c r="H267" s="164">
        <f>CHOOSE(IF($B$1=2,2,1),'GAAP-IFRS'!K56,IF('Broker Actual'!K56="-",'GAAP-IFRS'!K56,'GAAP-IFRS'!K56))</f>
        <v>1536.5</v>
      </c>
      <c r="I267" s="164">
        <f>CHOOSE(IF($B$1=2,2,1),'GAAP-IFRS'!L56,IF('Broker Actual'!L56="-",'GAAP-IFRS'!L56,'GAAP-IFRS'!L56))</f>
        <v>1741.6</v>
      </c>
      <c r="J267" s="164">
        <f>CHOOSE(IF($B$1=2,2,1),'GAAP-IFRS'!M56,IF('Broker Actual'!M56="-",'GAAP-IFRS'!M56,'GAAP-IFRS'!M56))</f>
        <v>597.5</v>
      </c>
      <c r="K267" s="164">
        <f>CHOOSE(IF($B$1=2,2,1),'GAAP-IFRS'!N56,IF('Broker Actual'!N56="-",'GAAP-IFRS'!N56,'GAAP-IFRS'!N56))</f>
        <v>1387.5</v>
      </c>
      <c r="L267" s="164">
        <f>CHOOSE(IF($B$1=2,2,1),'GAAP-IFRS'!O56,IF('Broker Actual'!O56="-",'GAAP-IFRS'!O56,'GAAP-IFRS'!O56))</f>
        <v>1418.7</v>
      </c>
      <c r="M267" s="139">
        <f>M266+M265+M264+M263+M261+M257+M256</f>
        <v>1674.2757442868597</v>
      </c>
      <c r="N267" s="139">
        <f t="shared" ref="N267:Q267" si="362">N266+N265+N264+N263+N261+N257+N256</f>
        <v>2158.9139398867828</v>
      </c>
      <c r="O267" s="139">
        <f t="shared" si="362"/>
        <v>2257.8078852894305</v>
      </c>
      <c r="P267" s="139">
        <f t="shared" si="362"/>
        <v>1926.9298025666997</v>
      </c>
      <c r="Q267" s="139">
        <f t="shared" si="362"/>
        <v>1818.2827746513876</v>
      </c>
      <c r="R267" s="117"/>
      <c r="S267" s="117"/>
      <c r="T267" s="117"/>
      <c r="U267" s="118"/>
      <c r="V267" s="119"/>
      <c r="W267" s="119"/>
      <c r="X267" s="117"/>
      <c r="Y267" s="117"/>
      <c r="Z267" s="117"/>
      <c r="AA267" s="117"/>
      <c r="AB267" s="117"/>
      <c r="AC267" s="120"/>
    </row>
    <row r="268" spans="1:29" outlineLevel="1" x14ac:dyDescent="0.15">
      <c r="A268" s="108"/>
      <c r="B268" s="164"/>
      <c r="C268" s="164"/>
      <c r="D268" s="164"/>
      <c r="E268" s="164"/>
      <c r="F268" s="164"/>
      <c r="G268" s="164"/>
      <c r="H268" s="164"/>
      <c r="I268" s="164"/>
      <c r="J268" s="164"/>
      <c r="K268" s="164"/>
      <c r="L268" s="164"/>
      <c r="P268" s="117"/>
      <c r="Q268" s="117"/>
      <c r="R268" s="117"/>
      <c r="S268" s="117"/>
      <c r="T268" s="117"/>
      <c r="U268" s="118"/>
      <c r="V268" s="119"/>
      <c r="W268" s="119"/>
      <c r="X268" s="117"/>
      <c r="Y268" s="117"/>
      <c r="Z268" s="117"/>
      <c r="AA268" s="117"/>
      <c r="AB268" s="117"/>
      <c r="AC268" s="120"/>
    </row>
    <row r="269" spans="1:29" ht="18.75" customHeight="1" outlineLevel="1" x14ac:dyDescent="0.15">
      <c r="A269" s="108"/>
      <c r="B269" s="164"/>
      <c r="C269" s="164"/>
      <c r="D269" s="164"/>
      <c r="E269" s="164"/>
      <c r="F269" s="164"/>
      <c r="G269" s="164"/>
      <c r="H269" s="164"/>
      <c r="I269" s="164"/>
      <c r="J269" s="164"/>
      <c r="K269" s="164"/>
      <c r="L269" s="164"/>
      <c r="P269" s="117"/>
      <c r="Q269" s="117"/>
      <c r="R269" s="117"/>
      <c r="S269" s="117"/>
      <c r="T269" s="117"/>
      <c r="U269" s="118"/>
      <c r="V269" s="119"/>
      <c r="W269" s="119"/>
      <c r="X269" s="117"/>
      <c r="Y269" s="117"/>
      <c r="Z269" s="117"/>
      <c r="AA269" s="117"/>
      <c r="AB269" s="117"/>
      <c r="AC269" s="120"/>
    </row>
    <row r="270" spans="1:29" ht="18.75" customHeight="1" outlineLevel="1" x14ac:dyDescent="0.15">
      <c r="A270" s="108"/>
      <c r="B270" s="16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P270" s="117"/>
      <c r="Q270" s="117"/>
      <c r="R270" s="117"/>
      <c r="S270" s="117"/>
      <c r="T270" s="117"/>
      <c r="U270" s="118"/>
      <c r="V270" s="119"/>
      <c r="W270" s="119"/>
      <c r="X270" s="117"/>
      <c r="Y270" s="117"/>
      <c r="Z270" s="117"/>
      <c r="AA270" s="117"/>
      <c r="AB270" s="117"/>
      <c r="AC270" s="120"/>
    </row>
    <row r="271" spans="1:29" ht="18.75" customHeight="1" outlineLevel="1" x14ac:dyDescent="0.15">
      <c r="A271" s="108" t="s">
        <v>138</v>
      </c>
      <c r="B271" s="140"/>
      <c r="C271" s="140"/>
      <c r="D271" s="140"/>
      <c r="E271" s="140"/>
      <c r="F271" s="140"/>
      <c r="G271" s="140"/>
      <c r="H271" s="140"/>
      <c r="I271" s="140"/>
      <c r="J271" s="140"/>
      <c r="K271" s="140"/>
      <c r="L271" s="140"/>
      <c r="P271" s="117"/>
      <c r="Q271" s="117"/>
      <c r="R271" s="117"/>
      <c r="S271" s="117"/>
      <c r="T271" s="117"/>
      <c r="U271" s="118"/>
      <c r="V271" s="119"/>
      <c r="W271" s="119"/>
      <c r="X271" s="117"/>
      <c r="Y271" s="117"/>
      <c r="Z271" s="117"/>
      <c r="AA271" s="117"/>
      <c r="AB271" s="117"/>
      <c r="AC271" s="120"/>
    </row>
    <row r="272" spans="1:29" ht="18.75" customHeight="1" outlineLevel="1" x14ac:dyDescent="0.15">
      <c r="A272" s="183" t="s">
        <v>139</v>
      </c>
      <c r="B272" s="140" t="e">
        <f>CHOOSE(IF($B$1=2,2,1),'GAAP-IFRS'!E59,IF('Broker Actual'!E59="-",'GAAP-IFRS'!E59,'Broker Actual'!E59))</f>
        <v>#VALUE!</v>
      </c>
      <c r="C272" s="140">
        <f>CHOOSE(IF($B$1=2,1,1),'GAAP-IFRS'!F59,IF('Broker Actual'!F59="-",'GAAP-IFRS'!F59,'Broker Actual'!F59))</f>
        <v>-105.5</v>
      </c>
      <c r="D272" s="140">
        <f>CHOOSE(IF($B$1=2,1,1),'GAAP-IFRS'!G59,IF('Broker Actual'!G59="-",'GAAP-IFRS'!G59,'Broker Actual'!G59))</f>
        <v>-114.5</v>
      </c>
      <c r="E272" s="140">
        <f>CHOOSE(IF($B$1=2,1,1),'GAAP-IFRS'!H59,IF('Broker Actual'!H59="-",'GAAP-IFRS'!H59,'Broker Actual'!H59))</f>
        <v>-100.2</v>
      </c>
      <c r="F272" s="140">
        <f>CHOOSE(IF($B$1=2,1,1),'GAAP-IFRS'!I59,IF('Broker Actual'!I59="-",'GAAP-IFRS'!I59,'Broker Actual'!I59))</f>
        <v>-85</v>
      </c>
      <c r="G272" s="140">
        <f>CHOOSE(IF($B$1=2,1,1),'GAAP-IFRS'!J59,IF('Broker Actual'!J59="-",'GAAP-IFRS'!J59,'Broker Actual'!J59))</f>
        <v>-105.3</v>
      </c>
      <c r="H272" s="140">
        <f>CHOOSE(IF($B$1=2,1,1),'GAAP-IFRS'!K59,IF('Broker Actual'!K59="-",'GAAP-IFRS'!K59,'Broker Actual'!K59))</f>
        <v>-144.1</v>
      </c>
      <c r="I272" s="140">
        <f>CHOOSE(IF($B$1=2,1,1),'GAAP-IFRS'!L59,IF('Broker Actual'!L59="-",'GAAP-IFRS'!L59,'Broker Actual'!L59))</f>
        <v>-150.9</v>
      </c>
      <c r="J272" s="140">
        <f>CHOOSE(IF($B$1=2,1,1),'GAAP-IFRS'!M59,IF('Broker Actual'!M59="-",'GAAP-IFRS'!M59,'Broker Actual'!M59))</f>
        <v>-119.1</v>
      </c>
      <c r="K272" s="140">
        <f>CHOOSE(IF($B$1=2,1,1),'GAAP-IFRS'!N59,IF('Broker Actual'!N59="-",'GAAP-IFRS'!N59,'Broker Actual'!N59))</f>
        <v>-110.3</v>
      </c>
      <c r="L272" s="140">
        <f>CHOOSE(IF($B$1=2,1,1),'GAAP-IFRS'!O59,IF('Broker Actual'!O59="-",'GAAP-IFRS'!O59,'Broker Actual'!O59))</f>
        <v>-102.2</v>
      </c>
      <c r="M272" s="139">
        <f>M273*M37</f>
        <v>-124.46339101255876</v>
      </c>
      <c r="N272" s="139">
        <f>N273*N37</f>
        <v>-201.13645539744755</v>
      </c>
      <c r="O272" s="139">
        <f>O273*O37</f>
        <v>-206.40665071770505</v>
      </c>
      <c r="P272" s="139">
        <f>P273*P37</f>
        <v>-278.87349283121853</v>
      </c>
      <c r="Q272" s="139">
        <f>Q273*Q37</f>
        <v>-280.76496915208844</v>
      </c>
      <c r="R272" s="117"/>
      <c r="S272" s="117"/>
      <c r="T272" s="117"/>
      <c r="U272" s="118"/>
      <c r="V272" s="119"/>
      <c r="W272" s="119"/>
      <c r="X272" s="117"/>
      <c r="Y272" s="117"/>
      <c r="Z272" s="117"/>
      <c r="AA272" s="117"/>
      <c r="AB272" s="117"/>
      <c r="AC272" s="120"/>
    </row>
    <row r="273" spans="1:29" outlineLevel="1" x14ac:dyDescent="0.15">
      <c r="A273" s="128" t="s">
        <v>110</v>
      </c>
      <c r="B273" s="138" t="str">
        <f t="shared" ref="B273:L273" si="363">IFERROR(B272/B$49,"")</f>
        <v/>
      </c>
      <c r="C273" s="138">
        <f t="shared" si="363"/>
        <v>-1.0189495644111342E-2</v>
      </c>
      <c r="D273" s="138">
        <f t="shared" si="363"/>
        <v>-1.0894697279655936E-2</v>
      </c>
      <c r="E273" s="138">
        <f t="shared" si="363"/>
        <v>-9.3371725699589059E-3</v>
      </c>
      <c r="F273" s="138">
        <f t="shared" si="363"/>
        <v>-7.6947449418367812E-3</v>
      </c>
      <c r="G273" s="138">
        <f t="shared" si="363"/>
        <v>-9.3294822270262607E-3</v>
      </c>
      <c r="H273" s="138">
        <f t="shared" si="363"/>
        <v>-1.2424020347458722E-2</v>
      </c>
      <c r="I273" s="138">
        <f t="shared" si="363"/>
        <v>-1.2576152814007951E-2</v>
      </c>
      <c r="J273" s="138">
        <f t="shared" si="363"/>
        <v>-9.0487080329126803E-3</v>
      </c>
      <c r="K273" s="138">
        <f t="shared" si="363"/>
        <v>-9.1811083920158489E-3</v>
      </c>
      <c r="L273" s="138">
        <f t="shared" si="363"/>
        <v>-8.5230589608873333E-3</v>
      </c>
      <c r="M273" s="138">
        <v>-0.01</v>
      </c>
      <c r="N273" s="138">
        <v>-1.4999999999999999E-2</v>
      </c>
      <c r="O273" s="138">
        <f>N273</f>
        <v>-1.4999999999999999E-2</v>
      </c>
      <c r="P273" s="138">
        <v>-0.02</v>
      </c>
      <c r="Q273" s="138">
        <f t="shared" ref="Q273" si="364">P273</f>
        <v>-0.02</v>
      </c>
      <c r="R273" s="117"/>
      <c r="S273" s="117"/>
      <c r="T273" s="117"/>
      <c r="U273" s="118"/>
      <c r="V273" s="119"/>
      <c r="W273" s="119"/>
      <c r="X273" s="117"/>
      <c r="Y273" s="117"/>
      <c r="Z273" s="117"/>
      <c r="AA273" s="117"/>
      <c r="AB273" s="117"/>
      <c r="AC273" s="120"/>
    </row>
    <row r="274" spans="1:29" outlineLevel="1" x14ac:dyDescent="0.15">
      <c r="A274" s="183" t="s">
        <v>141</v>
      </c>
      <c r="B274" s="140">
        <f>CHOOSE(IF($B$1=2,2,1),'GAAP-IFRS'!E60,IF('Broker Actual'!E60="-",'GAAP-IFRS'!E60,'Broker Actual'!E60))</f>
        <v>0</v>
      </c>
      <c r="C274" s="140">
        <f>CHOOSE(IF($B$1=2,2,1),'GAAP-IFRS'!F60,IF('Broker Actual'!F60="-",'GAAP-IFRS'!F60,'Broker Actual'!F60))</f>
        <v>0</v>
      </c>
      <c r="D274" s="140">
        <f>CHOOSE(IF($B$1=2,2,1),'GAAP-IFRS'!G60,IF('Broker Actual'!G60="-",'GAAP-IFRS'!G60,'Broker Actual'!G60))</f>
        <v>0</v>
      </c>
      <c r="E274" s="140">
        <f>CHOOSE(IF($B$1=2,2,1),'GAAP-IFRS'!H60,IF('Broker Actual'!H60="-",'GAAP-IFRS'!H60,'Broker Actual'!H60))</f>
        <v>-54.3</v>
      </c>
      <c r="F274" s="140">
        <f>CHOOSE(IF($B$1=2,2,1),'GAAP-IFRS'!I60,IF('Broker Actual'!I60="-",'GAAP-IFRS'!I60,'Broker Actual'!I60))</f>
        <v>-129.19999999999999</v>
      </c>
      <c r="G274" s="140">
        <f>CHOOSE(IF($B$1=2,2,1),'GAAP-IFRS'!J60,IF('Broker Actual'!J60="-",'GAAP-IFRS'!J60,'Broker Actual'!J60))</f>
        <v>0</v>
      </c>
      <c r="H274" s="140">
        <f>CHOOSE(IF($B$1=2,2,1),'GAAP-IFRS'!K60,IF('Broker Actual'!K60="-",'GAAP-IFRS'!K60,'Broker Actual'!K60))</f>
        <v>-145.4</v>
      </c>
      <c r="I274" s="140">
        <f>CHOOSE(IF($B$1=2,2,1),'GAAP-IFRS'!L60,IF('Broker Actual'!L60="-",'GAAP-IFRS'!L60,'Broker Actual'!L60))</f>
        <v>0</v>
      </c>
      <c r="J274" s="140">
        <f>CHOOSE(IF($B$1=2,2,1),'GAAP-IFRS'!M60,IF('Broker Actual'!M60="-",'GAAP-IFRS'!M60,'Broker Actual'!M60))</f>
        <v>0</v>
      </c>
      <c r="K274" s="140">
        <f>CHOOSE(IF($B$1=2,2,1),'GAAP-IFRS'!N60,IF('Broker Actual'!N60="-",'GAAP-IFRS'!N60,'Broker Actual'!N60))</f>
        <v>0</v>
      </c>
      <c r="L274" s="140">
        <f>CHOOSE(IF($B$1=2,2,1),'GAAP-IFRS'!O60,IF('Broker Actual'!O60="-",'GAAP-IFRS'!O60,'Broker Actual'!O60))</f>
        <v>0</v>
      </c>
      <c r="M274" s="139">
        <f>AVERAGE(L274)</f>
        <v>0</v>
      </c>
      <c r="N274" s="139">
        <f t="shared" ref="N274:Q274" si="365">AVERAGE(M274)</f>
        <v>0</v>
      </c>
      <c r="O274" s="139">
        <f t="shared" si="365"/>
        <v>0</v>
      </c>
      <c r="P274" s="139">
        <f t="shared" si="365"/>
        <v>0</v>
      </c>
      <c r="Q274" s="139">
        <f t="shared" si="365"/>
        <v>0</v>
      </c>
      <c r="R274" s="117"/>
      <c r="S274" s="117"/>
      <c r="T274" s="117"/>
      <c r="U274" s="118"/>
      <c r="V274" s="147" t="s">
        <v>78</v>
      </c>
      <c r="W274" s="147" t="s">
        <v>159</v>
      </c>
      <c r="X274" s="145" t="str" cm="1">
        <f t="array" ref="X274">_xll.FDSC("--",$A$1,""&amp;$V274&amp;"("&amp;$W274&amp;","&amp;D$2&amp;",ANNUAL_ROLL,+1,0,,,'CURRENCY="&amp;$E$1&amp;"')")</f>
        <v>--</v>
      </c>
      <c r="Y274" s="145" t="str" cm="1">
        <f t="array" ref="Y274">_xll.FDSC("--",$A$1,""&amp;$V274&amp;"("&amp;$W274&amp;","&amp;D$2&amp;",ANNUAL_ROLL,+2,0,,,'CURRENCY="&amp;$E$1&amp;"')")</f>
        <v>--</v>
      </c>
      <c r="Z274" s="145" t="str" cm="1">
        <f t="array" ref="Z274">_xll.FDSC("--",$A$1,""&amp;$V274&amp;"("&amp;$W274&amp;","&amp;D$2&amp;",ANNUAL_ROLL,+3,0,,,'CURRENCY="&amp;$E$1&amp;"')")</f>
        <v>--</v>
      </c>
      <c r="AA274" s="117"/>
      <c r="AB274" s="117"/>
      <c r="AC274" s="120"/>
    </row>
    <row r="275" spans="1:29" outlineLevel="1" x14ac:dyDescent="0.15">
      <c r="A275" s="183" t="s">
        <v>142</v>
      </c>
      <c r="B275" s="140">
        <f>CHOOSE(IF($B$1=2,2,1),'GAAP-IFRS'!E61,IF('Broker Actual'!E61="-",'GAAP-IFRS'!E61,'Broker Actual'!E61))</f>
        <v>0</v>
      </c>
      <c r="C275" s="140">
        <f>CHOOSE(IF($B$1=2,2,1),'GAAP-IFRS'!F61,IF('Broker Actual'!F61="-",'GAAP-IFRS'!F61,'Broker Actual'!F61))</f>
        <v>0</v>
      </c>
      <c r="D275" s="140">
        <f>CHOOSE(IF($B$1=2,2,1),'GAAP-IFRS'!G61,IF('Broker Actual'!G61="-",'GAAP-IFRS'!G61,'Broker Actual'!G61))</f>
        <v>0</v>
      </c>
      <c r="E275" s="140">
        <f>CHOOSE(IF($B$1=2,2,1),'GAAP-IFRS'!H61,IF('Broker Actual'!H61="-",'GAAP-IFRS'!H61,'Broker Actual'!H61))</f>
        <v>0</v>
      </c>
      <c r="F275" s="140">
        <f>CHOOSE(IF($B$1=2,2,1),'GAAP-IFRS'!I61,IF('Broker Actual'!I61="-",'GAAP-IFRS'!I61,'Broker Actual'!I61))</f>
        <v>0</v>
      </c>
      <c r="G275" s="140">
        <f>CHOOSE(IF($B$1=2,2,1),'GAAP-IFRS'!J61,IF('Broker Actual'!J61="-",'GAAP-IFRS'!J61,'Broker Actual'!J61))</f>
        <v>0</v>
      </c>
      <c r="H275" s="140">
        <f>CHOOSE(IF($B$1=2,2,1),'GAAP-IFRS'!K61,IF('Broker Actual'!K61="-",'GAAP-IFRS'!K61,'Broker Actual'!K61))</f>
        <v>0</v>
      </c>
      <c r="I275" s="140">
        <f>CHOOSE(IF($B$1=2,2,1),'GAAP-IFRS'!L61,IF('Broker Actual'!L61="-",'GAAP-IFRS'!L61,'Broker Actual'!L61))</f>
        <v>0</v>
      </c>
      <c r="J275" s="140">
        <f>CHOOSE(IF($B$1=2,2,1),'GAAP-IFRS'!M61,IF('Broker Actual'!M61="-",'GAAP-IFRS'!M61,'Broker Actual'!M61))</f>
        <v>0</v>
      </c>
      <c r="K275" s="140">
        <f>CHOOSE(IF($B$1=2,2,1),'GAAP-IFRS'!N61,IF('Broker Actual'!N61="-",'GAAP-IFRS'!N61,'Broker Actual'!N61))</f>
        <v>0</v>
      </c>
      <c r="L275" s="140">
        <f>CHOOSE(IF($B$1=2,2,1),'GAAP-IFRS'!O61,IF('Broker Actual'!O61="-",'GAAP-IFRS'!O61,'Broker Actual'!O61))</f>
        <v>0</v>
      </c>
      <c r="M275" s="139">
        <f>AVERAGE(I275:L275)</f>
        <v>0</v>
      </c>
      <c r="N275" s="139">
        <f t="shared" ref="N275:Q275" si="366">AVERAGE(J275:M275)</f>
        <v>0</v>
      </c>
      <c r="O275" s="139">
        <f t="shared" si="366"/>
        <v>0</v>
      </c>
      <c r="P275" s="139">
        <f t="shared" si="366"/>
        <v>0</v>
      </c>
      <c r="Q275" s="139">
        <f t="shared" si="366"/>
        <v>0</v>
      </c>
      <c r="R275" s="117"/>
      <c r="S275" s="117"/>
      <c r="T275" s="117"/>
      <c r="U275" s="118"/>
      <c r="V275" s="119"/>
      <c r="W275" s="119"/>
      <c r="X275" s="117"/>
      <c r="Y275" s="117"/>
      <c r="Z275" s="117"/>
      <c r="AA275" s="117"/>
      <c r="AB275" s="117"/>
      <c r="AC275" s="120"/>
    </row>
    <row r="276" spans="1:29" outlineLevel="1" x14ac:dyDescent="0.15">
      <c r="A276" s="186" t="s">
        <v>143</v>
      </c>
      <c r="B276" s="140"/>
      <c r="C276" s="140"/>
      <c r="D276" s="140"/>
      <c r="E276" s="140"/>
      <c r="F276" s="140"/>
      <c r="G276" s="140"/>
      <c r="H276" s="140"/>
      <c r="I276" s="140"/>
      <c r="J276" s="140"/>
      <c r="K276" s="140"/>
      <c r="L276" s="140"/>
      <c r="P276" s="117"/>
      <c r="Q276" s="117"/>
      <c r="R276" s="117"/>
      <c r="S276" s="117"/>
      <c r="T276" s="117"/>
      <c r="U276" s="118"/>
      <c r="V276" s="119"/>
      <c r="W276" s="119"/>
      <c r="X276" s="117"/>
      <c r="Y276" s="117"/>
      <c r="Z276" s="117"/>
      <c r="AA276" s="117"/>
      <c r="AB276" s="117"/>
      <c r="AC276" s="120"/>
    </row>
    <row r="277" spans="1:29" outlineLevel="1" x14ac:dyDescent="0.15">
      <c r="A277" s="184" t="s">
        <v>144</v>
      </c>
      <c r="B277" s="140">
        <f>CHOOSE(IF($B$1=2,2,1),'GAAP-IFRS'!E63,IF('Broker Actual'!E63="-",'GAAP-IFRS'!E63,'Broker Actual'!E63))</f>
        <v>-3946.7</v>
      </c>
      <c r="C277" s="140">
        <f>CHOOSE(IF($B$1=2,2,1),'GAAP-IFRS'!F63,IF('Broker Actual'!F63="-",'GAAP-IFRS'!F63,'Broker Actual'!F63))</f>
        <v>-3917.3</v>
      </c>
      <c r="D277" s="140">
        <f>CHOOSE(IF($B$1=2,2,1),'GAAP-IFRS'!G63,IF('Broker Actual'!G63="-",'GAAP-IFRS'!G63,'Broker Actual'!G63))</f>
        <v>-3272.9</v>
      </c>
      <c r="E277" s="140">
        <f>CHOOSE(IF($B$1=2,2,1),'GAAP-IFRS'!H63,IF('Broker Actual'!H63="-",'GAAP-IFRS'!H63,'Broker Actual'!H63))</f>
        <v>-4714.8</v>
      </c>
      <c r="F277" s="140">
        <f>CHOOSE(IF($B$1=2,2,1),'GAAP-IFRS'!I63,IF('Broker Actual'!I63="-",'GAAP-IFRS'!I63,'Broker Actual'!I63))</f>
        <v>-3938.8</v>
      </c>
      <c r="G277" s="140">
        <f>CHOOSE(IF($B$1=2,2,1),'GAAP-IFRS'!J63,IF('Broker Actual'!J63="-",'GAAP-IFRS'!J63,'Broker Actual'!J63))</f>
        <v>-3639.2</v>
      </c>
      <c r="H277" s="140">
        <f>CHOOSE(IF($B$1=2,2,1),'GAAP-IFRS'!K63,IF('Broker Actual'!K63="-",'GAAP-IFRS'!K63,'Broker Actual'!K63))</f>
        <v>-4484.8999999999996</v>
      </c>
      <c r="I277" s="140">
        <f>CHOOSE(IF($B$1=2,2,1),'GAAP-IFRS'!L63,IF('Broker Actual'!L63="-",'GAAP-IFRS'!L63,'Broker Actual'!L63))</f>
        <v>-4858.5</v>
      </c>
      <c r="J277" s="140">
        <f>CHOOSE(IF($B$1=2,2,1),'GAAP-IFRS'!M63,IF('Broker Actual'!M63="-",'GAAP-IFRS'!M63,'Broker Actual'!M63))</f>
        <v>-3743.3</v>
      </c>
      <c r="K277" s="140">
        <f>CHOOSE(IF($B$1=2,2,1),'GAAP-IFRS'!N63,IF('Broker Actual'!N63="-",'GAAP-IFRS'!N63,'Broker Actual'!N63))</f>
        <v>-4713.1000000000004</v>
      </c>
      <c r="L277" s="140">
        <f>CHOOSE(IF($B$1=2,2,1),'GAAP-IFRS'!O63,IF('Broker Actual'!O63="-",'GAAP-IFRS'!O63,'Broker Actual'!O63))</f>
        <v>-3340.8</v>
      </c>
      <c r="M277" s="139">
        <f>M278*M151</f>
        <v>-3718.1560102084968</v>
      </c>
      <c r="N277" s="139">
        <f t="shared" ref="N277:Q277" si="367">N278*N151</f>
        <v>-3790.3275329718317</v>
      </c>
      <c r="O277" s="139">
        <f t="shared" si="367"/>
        <v>-3866.5861503622059</v>
      </c>
      <c r="P277" s="139">
        <f t="shared" si="367"/>
        <v>-3997.9997834661335</v>
      </c>
      <c r="Q277" s="139">
        <f t="shared" si="367"/>
        <v>-4118.7054707268662</v>
      </c>
      <c r="R277" s="117"/>
      <c r="S277" s="117"/>
      <c r="T277" s="117"/>
      <c r="U277" s="118"/>
      <c r="V277" s="119"/>
      <c r="W277" s="119"/>
      <c r="X277" s="117"/>
      <c r="Y277" s="117"/>
      <c r="Z277" s="117"/>
      <c r="AA277" s="117"/>
      <c r="AB277" s="117"/>
      <c r="AC277" s="120"/>
    </row>
    <row r="278" spans="1:29" outlineLevel="1" x14ac:dyDescent="0.15">
      <c r="A278" s="483" t="s">
        <v>591</v>
      </c>
      <c r="B278" s="140"/>
      <c r="C278" s="300">
        <f>C277/C151</f>
        <v>-8.0083982590171909E-2</v>
      </c>
      <c r="D278" s="300">
        <f t="shared" ref="D278:L278" si="368">D277/D151</f>
        <v>-6.324762210275299E-2</v>
      </c>
      <c r="E278" s="300">
        <f t="shared" si="368"/>
        <v>-9.4251324872010669E-2</v>
      </c>
      <c r="F278" s="300">
        <f t="shared" si="368"/>
        <v>-7.7033652840063443E-2</v>
      </c>
      <c r="G278" s="300">
        <f t="shared" si="368"/>
        <v>-6.8607194027599724E-2</v>
      </c>
      <c r="H278" s="300">
        <f t="shared" si="368"/>
        <v>-8.8446307851288555E-2</v>
      </c>
      <c r="I278" s="300">
        <f t="shared" si="368"/>
        <v>-8.7134071870140911E-2</v>
      </c>
      <c r="J278" s="300">
        <f t="shared" si="368"/>
        <v>-7.1052606603585561E-2</v>
      </c>
      <c r="K278" s="300">
        <f t="shared" si="368"/>
        <v>-9.0375319029804238E-2</v>
      </c>
      <c r="L278" s="300">
        <f t="shared" si="368"/>
        <v>-7.6427001095801403E-2</v>
      </c>
      <c r="M278" s="485">
        <f>AVERAGE(H278:L278)</f>
        <v>-8.2687061290124139E-2</v>
      </c>
      <c r="N278" s="485">
        <f t="shared" ref="N278:O278" si="369">AVERAGE(I278:M278)</f>
        <v>-8.153521197789125E-2</v>
      </c>
      <c r="O278" s="485">
        <f t="shared" si="369"/>
        <v>-8.0415439999441327E-2</v>
      </c>
      <c r="P278" s="485">
        <f>O278</f>
        <v>-8.0415439999441327E-2</v>
      </c>
      <c r="Q278" s="485">
        <f t="shared" ref="Q278" si="370">P278</f>
        <v>-8.0415439999441327E-2</v>
      </c>
      <c r="R278" s="117"/>
      <c r="S278" s="117"/>
      <c r="T278" s="117"/>
      <c r="U278" s="118"/>
      <c r="V278" s="119"/>
      <c r="W278" s="119"/>
      <c r="X278" s="117"/>
      <c r="Y278" s="117"/>
      <c r="Z278" s="117"/>
      <c r="AA278" s="117"/>
      <c r="AB278" s="117"/>
      <c r="AC278" s="120"/>
    </row>
    <row r="279" spans="1:29" outlineLevel="1" x14ac:dyDescent="0.15">
      <c r="A279" s="184" t="s">
        <v>145</v>
      </c>
      <c r="B279" s="140">
        <f>CHOOSE(IF($B$1=2,2,1),'GAAP-IFRS'!E64,IF('Broker Actual'!E64="-",'GAAP-IFRS'!E64,'Broker Actual'!E64))</f>
        <v>2938.6</v>
      </c>
      <c r="C279" s="140">
        <f>CHOOSE(IF($B$1=2,2,1),'GAAP-IFRS'!F64,IF('Broker Actual'!F64="-",'GAAP-IFRS'!F64,'Broker Actual'!F64))</f>
        <v>3982.7</v>
      </c>
      <c r="D279" s="140">
        <f>CHOOSE(IF($B$1=2,2,1),'GAAP-IFRS'!G64,IF('Broker Actual'!G64="-",'GAAP-IFRS'!G64,'Broker Actual'!G64))</f>
        <v>2504.5</v>
      </c>
      <c r="E279" s="140">
        <f>CHOOSE(IF($B$1=2,2,1),'GAAP-IFRS'!H64,IF('Broker Actual'!H64="-",'GAAP-IFRS'!H64,'Broker Actual'!H64))</f>
        <v>3814.7</v>
      </c>
      <c r="F279" s="140">
        <f>CHOOSE(IF($B$1=2,2,1),'GAAP-IFRS'!I64,IF('Broker Actual'!I64="-",'GAAP-IFRS'!I64,'Broker Actual'!I64))</f>
        <v>3452.4</v>
      </c>
      <c r="G279" s="140">
        <f>CHOOSE(IF($B$1=2,2,1),'GAAP-IFRS'!J64,IF('Broker Actual'!J64="-",'GAAP-IFRS'!J64,'Broker Actual'!J64))</f>
        <v>3255</v>
      </c>
      <c r="H279" s="140">
        <f>CHOOSE(IF($B$1=2,2,1),'GAAP-IFRS'!K64,IF('Broker Actual'!K64="-",'GAAP-IFRS'!K64,'Broker Actual'!K64))</f>
        <v>4112.3999999999996</v>
      </c>
      <c r="I279" s="140">
        <f>CHOOSE(IF($B$1=2,2,1),'GAAP-IFRS'!L64,IF('Broker Actual'!L64="-",'GAAP-IFRS'!L64,'Broker Actual'!L64))</f>
        <v>3719.7</v>
      </c>
      <c r="J279" s="140">
        <f>CHOOSE(IF($B$1=2,2,1),'GAAP-IFRS'!M64,IF('Broker Actual'!M64="-",'GAAP-IFRS'!M64,'Broker Actual'!M64))</f>
        <v>3280.2</v>
      </c>
      <c r="K279" s="140">
        <f>CHOOSE(IF($B$1=2,2,1),'GAAP-IFRS'!N64,IF('Broker Actual'!N64="-",'GAAP-IFRS'!N64,'Broker Actual'!N64))</f>
        <v>3533.5</v>
      </c>
      <c r="L279" s="140">
        <f>CHOOSE(IF($B$1=2,2,1),'GAAP-IFRS'!O64,IF('Broker Actual'!O64="-",'GAAP-IFRS'!O64,'Broker Actual'!O64))</f>
        <v>2537.9</v>
      </c>
      <c r="M279" s="139">
        <f>M280*M151</f>
        <v>3020.7512257962217</v>
      </c>
      <c r="N279" s="139">
        <f t="shared" ref="N279:Q279" si="371">N280*N151</f>
        <v>2993.4442433041381</v>
      </c>
      <c r="O279" s="139">
        <f t="shared" si="371"/>
        <v>3073.907815871888</v>
      </c>
      <c r="P279" s="139">
        <f t="shared" si="371"/>
        <v>3194.9593730584397</v>
      </c>
      <c r="Q279" s="139">
        <f t="shared" si="371"/>
        <v>3073.0706471957228</v>
      </c>
      <c r="R279" s="117"/>
      <c r="S279" s="117"/>
      <c r="T279" s="117"/>
      <c r="U279" s="118"/>
      <c r="V279" s="119"/>
      <c r="W279" s="119"/>
      <c r="X279" s="117"/>
      <c r="Y279" s="117"/>
      <c r="Z279" s="117"/>
      <c r="AA279" s="117"/>
      <c r="AB279" s="117"/>
      <c r="AC279" s="120"/>
    </row>
    <row r="280" spans="1:29" outlineLevel="1" x14ac:dyDescent="0.15">
      <c r="A280" s="483" t="s">
        <v>591</v>
      </c>
      <c r="B280" s="140"/>
      <c r="C280" s="300">
        <f>C279/C151</f>
        <v>8.1420998509656561E-2</v>
      </c>
      <c r="D280" s="300">
        <f t="shared" ref="D280:L280" si="372">D279/D151</f>
        <v>4.8398566884519802E-2</v>
      </c>
      <c r="E280" s="300">
        <f t="shared" si="372"/>
        <v>7.6257853777309551E-2</v>
      </c>
      <c r="F280" s="300">
        <f t="shared" si="372"/>
        <v>6.7520814223884187E-2</v>
      </c>
      <c r="G280" s="300">
        <f t="shared" si="372"/>
        <v>6.1364150516552293E-2</v>
      </c>
      <c r="H280" s="300">
        <f t="shared" si="372"/>
        <v>8.1100268993208116E-2</v>
      </c>
      <c r="I280" s="300">
        <f t="shared" si="372"/>
        <v>6.6710426496935912E-2</v>
      </c>
      <c r="J280" s="300">
        <f t="shared" si="372"/>
        <v>6.226237816394127E-2</v>
      </c>
      <c r="K280" s="300">
        <f t="shared" si="372"/>
        <v>6.7756081940084714E-2</v>
      </c>
      <c r="L280" s="300">
        <f t="shared" si="372"/>
        <v>5.8059173276171695E-2</v>
      </c>
      <c r="M280" s="485">
        <f>AVERAGE(H280:L280)</f>
        <v>6.7177665774068335E-2</v>
      </c>
      <c r="N280" s="485">
        <f t="shared" ref="N280:P280" si="373">AVERAGE(I280:M280)</f>
        <v>6.4393145130240387E-2</v>
      </c>
      <c r="O280" s="485">
        <f t="shared" si="373"/>
        <v>6.3929688856901284E-2</v>
      </c>
      <c r="P280" s="485">
        <f t="shared" si="373"/>
        <v>6.426315099549329E-2</v>
      </c>
      <c r="Q280" s="485">
        <v>0.06</v>
      </c>
      <c r="R280" s="117"/>
      <c r="S280" s="117"/>
      <c r="T280" s="117"/>
      <c r="U280" s="118"/>
      <c r="V280" s="119"/>
      <c r="W280" s="119"/>
      <c r="X280" s="117"/>
      <c r="Y280" s="117"/>
      <c r="Z280" s="117"/>
      <c r="AA280" s="117"/>
      <c r="AB280" s="117"/>
      <c r="AC280" s="120"/>
    </row>
    <row r="281" spans="1:29" outlineLevel="1" x14ac:dyDescent="0.15">
      <c r="A281" s="186" t="s">
        <v>134</v>
      </c>
      <c r="B281" s="140"/>
      <c r="C281" s="140"/>
      <c r="D281" s="140"/>
      <c r="E281" s="140"/>
      <c r="F281" s="140"/>
      <c r="G281" s="140"/>
      <c r="H281" s="140"/>
      <c r="I281" s="140"/>
      <c r="J281" s="140"/>
      <c r="K281" s="140"/>
      <c r="L281" s="140"/>
      <c r="P281" s="117"/>
      <c r="Q281" s="117"/>
      <c r="R281" s="117"/>
      <c r="S281" s="117"/>
      <c r="T281" s="117"/>
      <c r="U281" s="118"/>
      <c r="V281" s="119" t="s">
        <v>78</v>
      </c>
      <c r="W281" s="119" t="s">
        <v>164</v>
      </c>
      <c r="X281" s="117" cm="1">
        <f t="array" ref="X281">_xll.FDSC("--",$A$1,""&amp;$V281&amp;"("&amp;$W281&amp;","&amp;D$2&amp;",ANNUAL_ROLL,+1,0,,,'CURRENCY="&amp;$E$1&amp;"')")</f>
        <v>193.21250000000001</v>
      </c>
      <c r="Y281" s="117" cm="1">
        <f t="array" ref="Y281">_xll.FDSC("--",$A$1,""&amp;$V281&amp;"("&amp;$W281&amp;","&amp;D$2&amp;",ANNUAL_ROLL,+2,0,,,'CURRENCY="&amp;$E$1&amp;"')")</f>
        <v>201.13300000000001</v>
      </c>
      <c r="Z281" s="117" t="str" cm="1">
        <f t="array" ref="Z281">_xll.FDSC("--",$A$1,""&amp;$V281&amp;"("&amp;$W281&amp;","&amp;D$2&amp;",ANNUAL_ROLL,+3,0,,,'CURRENCY="&amp;$E$1&amp;"')")</f>
        <v>--</v>
      </c>
      <c r="AA281" s="145"/>
      <c r="AB281" s="117"/>
      <c r="AC281" s="120"/>
    </row>
    <row r="282" spans="1:29" outlineLevel="1" x14ac:dyDescent="0.15">
      <c r="A282" s="184" t="s">
        <v>146</v>
      </c>
      <c r="B282" s="140">
        <f>CHOOSE(IF($B$1=2,2,1),'GAAP-IFRS'!E66,IF('Broker Actual'!E66="-",'GAAP-IFRS'!E66,'Broker Actual'!E66))</f>
        <v>-105.3</v>
      </c>
      <c r="C282" s="140">
        <f>CHOOSE(IF($B$1=2,2,1),'GAAP-IFRS'!F66,IF('Broker Actual'!F66="-",'GAAP-IFRS'!F66,'Broker Actual'!F66))</f>
        <v>0</v>
      </c>
      <c r="D282" s="140">
        <f>CHOOSE(IF($B$1=2,2,1),'GAAP-IFRS'!G66,IF('Broker Actual'!G66="-",'GAAP-IFRS'!G66,'Broker Actual'!G66))</f>
        <v>-3.7</v>
      </c>
      <c r="E282" s="140">
        <f>CHOOSE(IF($B$1=2,2,1),'GAAP-IFRS'!H66,IF('Broker Actual'!H66="-",'GAAP-IFRS'!H66,'Broker Actual'!H66))</f>
        <v>0</v>
      </c>
      <c r="F282" s="140">
        <f>CHOOSE(IF($B$1=2,2,1),'GAAP-IFRS'!I66,IF('Broker Actual'!I66="-",'GAAP-IFRS'!I66,'Broker Actual'!I66))</f>
        <v>-9.4</v>
      </c>
      <c r="G282" s="140">
        <f>CHOOSE(IF($B$1=2,2,1),'GAAP-IFRS'!J66,IF('Broker Actual'!J66="-",'GAAP-IFRS'!J66,'Broker Actual'!J66))</f>
        <v>-9.8000000000000007</v>
      </c>
      <c r="H282" s="140">
        <f>CHOOSE(IF($B$1=2,2,1),'GAAP-IFRS'!K66,IF('Broker Actual'!K66="-",'GAAP-IFRS'!K66,'Broker Actual'!K66))</f>
        <v>-268.10000000000002</v>
      </c>
      <c r="I282" s="140">
        <f>CHOOSE(IF($B$1=2,2,1),'GAAP-IFRS'!L66,IF('Broker Actual'!L66="-",'GAAP-IFRS'!L66,'Broker Actual'!L66))</f>
        <v>-103.8</v>
      </c>
      <c r="J282" s="140">
        <f>CHOOSE(IF($B$1=2,2,1),'GAAP-IFRS'!M66,IF('Broker Actual'!M66="-",'GAAP-IFRS'!M66,'Broker Actual'!M66))</f>
        <v>0</v>
      </c>
      <c r="K282" s="140">
        <f>CHOOSE(IF($B$1=2,2,1),'GAAP-IFRS'!N66,IF('Broker Actual'!N66="-",'GAAP-IFRS'!N66,'Broker Actual'!N66))</f>
        <v>-50.7</v>
      </c>
      <c r="L282" s="140">
        <f>CHOOSE(IF($B$1=2,2,1),'GAAP-IFRS'!O66,IF('Broker Actual'!O66="-",'GAAP-IFRS'!O66,'Broker Actual'!O66))</f>
        <v>-50.8</v>
      </c>
      <c r="M282" s="139">
        <v>0</v>
      </c>
      <c r="N282" s="139">
        <v>0</v>
      </c>
      <c r="O282" s="139">
        <v>0</v>
      </c>
      <c r="P282" s="139">
        <v>0</v>
      </c>
      <c r="Q282" s="139">
        <v>0</v>
      </c>
      <c r="R282" s="117"/>
      <c r="S282" s="117"/>
      <c r="T282" s="117"/>
      <c r="U282" s="118"/>
      <c r="AA282" s="117"/>
      <c r="AB282" s="117"/>
      <c r="AC282" s="120"/>
    </row>
    <row r="283" spans="1:29" s="108" customFormat="1" outlineLevel="1" x14ac:dyDescent="0.15">
      <c r="A283" s="184" t="s">
        <v>147</v>
      </c>
      <c r="B283" s="140">
        <f>CHOOSE(IF($B$1=2,2,1),'GAAP-IFRS'!E67,IF('Broker Actual'!E67="-",'GAAP-IFRS'!E67,'Broker Actual'!E67))</f>
        <v>0</v>
      </c>
      <c r="C283" s="140">
        <f>CHOOSE(IF($B$1=2,2,1),'GAAP-IFRS'!F67,IF('Broker Actual'!F67="-",'GAAP-IFRS'!F67,'Broker Actual'!F67))</f>
        <v>0.2</v>
      </c>
      <c r="D283" s="140">
        <f>CHOOSE(IF($B$1=2,2,1),'GAAP-IFRS'!G67,IF('Broker Actual'!G67="-",'GAAP-IFRS'!G67,'Broker Actual'!G67))</f>
        <v>0</v>
      </c>
      <c r="E283" s="140">
        <f>CHOOSE(IF($B$1=2,2,1),'GAAP-IFRS'!H67,IF('Broker Actual'!H67="-",'GAAP-IFRS'!H67,'Broker Actual'!H67))</f>
        <v>341.6</v>
      </c>
      <c r="F283" s="140">
        <f>CHOOSE(IF($B$1=2,2,1),'GAAP-IFRS'!I67,IF('Broker Actual'!I67="-",'GAAP-IFRS'!I67,'Broker Actual'!I67))</f>
        <v>0</v>
      </c>
      <c r="G283" s="140">
        <f>CHOOSE(IF($B$1=2,2,1),'GAAP-IFRS'!J67,IF('Broker Actual'!J67="-",'GAAP-IFRS'!J67,'Broker Actual'!J67))</f>
        <v>0</v>
      </c>
      <c r="H283" s="140">
        <f>CHOOSE(IF($B$1=2,2,1),'GAAP-IFRS'!K67,IF('Broker Actual'!K67="-",'GAAP-IFRS'!K67,'Broker Actual'!K67))</f>
        <v>0</v>
      </c>
      <c r="I283" s="140">
        <f>CHOOSE(IF($B$1=2,2,1),'GAAP-IFRS'!L67,IF('Broker Actual'!L67="-",'GAAP-IFRS'!L67,'Broker Actual'!L67))</f>
        <v>0</v>
      </c>
      <c r="J283" s="140">
        <f>CHOOSE(IF($B$1=2,2,1),'GAAP-IFRS'!M67,IF('Broker Actual'!M67="-",'GAAP-IFRS'!M67,'Broker Actual'!M67))</f>
        <v>314.5</v>
      </c>
      <c r="K283" s="140">
        <f>CHOOSE(IF($B$1=2,2,1),'GAAP-IFRS'!N67,IF('Broker Actual'!N67="-",'GAAP-IFRS'!N67,'Broker Actual'!N67))</f>
        <v>0</v>
      </c>
      <c r="L283" s="140">
        <f>CHOOSE(IF($B$1=2,2,1),'GAAP-IFRS'!O67,IF('Broker Actual'!O67="-",'GAAP-IFRS'!O67,'Broker Actual'!O67))</f>
        <v>0</v>
      </c>
      <c r="M283" s="139">
        <v>0</v>
      </c>
      <c r="N283" s="139">
        <v>0</v>
      </c>
      <c r="O283" s="139">
        <v>0</v>
      </c>
      <c r="P283" s="139">
        <v>0</v>
      </c>
      <c r="Q283" s="139">
        <v>0</v>
      </c>
      <c r="R283" s="145"/>
      <c r="S283" s="145"/>
      <c r="T283" s="145"/>
      <c r="U283" s="146"/>
      <c r="V283" s="77"/>
      <c r="W283" s="75"/>
      <c r="X283" s="75"/>
      <c r="Y283" s="75"/>
      <c r="Z283" s="75"/>
      <c r="AA283" s="117"/>
      <c r="AB283" s="145" cm="1">
        <f t="array" ref="AB283">_xll.FDSC("--",$A$1,"FF_OPER_CF(LTM_R,0,,,,"&amp;$E$1&amp;")@FF_OPER_CF(LTM_SEMI_R,0,,,,"&amp;$E$1&amp;")")</f>
        <v>1216.2</v>
      </c>
      <c r="AC283" s="158"/>
    </row>
    <row r="284" spans="1:29" s="108" customFormat="1" outlineLevel="1" x14ac:dyDescent="0.15">
      <c r="A284" s="108" t="s">
        <v>148</v>
      </c>
      <c r="B284" s="164">
        <f>CHOOSE(IF($B$1=2,2,1),'GAAP-IFRS'!E68,IF('Broker Actual'!E68="-",'GAAP-IFRS'!E68,'Broker Actual'!E68))</f>
        <v>-1113.4000000000001</v>
      </c>
      <c r="C284" s="164">
        <f>CHOOSE(IF($B$1=2,2,1),'GAAP-IFRS'!F68,IF('Broker Actual'!F68="-",'GAAP-IFRS'!F68,'Broker Actual'!F68))</f>
        <v>-39.9</v>
      </c>
      <c r="D284" s="164">
        <f>CHOOSE(IF($B$1=2,2,1),'GAAP-IFRS'!G68,IF('Broker Actual'!G68="-",'GAAP-IFRS'!G68,'Broker Actual'!G68))</f>
        <v>-886.6</v>
      </c>
      <c r="E284" s="164">
        <f>CHOOSE(IF($B$1=2,2,1),'GAAP-IFRS'!H68,IF('Broker Actual'!H68="-",'GAAP-IFRS'!H68,'Broker Actual'!H68))</f>
        <v>-713</v>
      </c>
      <c r="F284" s="164">
        <f>CHOOSE(IF($B$1=2,2,1),'GAAP-IFRS'!I68,IF('Broker Actual'!I68="-",'GAAP-IFRS'!I68,'Broker Actual'!I68))</f>
        <v>-710</v>
      </c>
      <c r="G284" s="164">
        <f>CHOOSE(IF($B$1=2,2,1),'GAAP-IFRS'!J68,IF('Broker Actual'!J68="-",'GAAP-IFRS'!J68,'Broker Actual'!J68))</f>
        <v>-499.3</v>
      </c>
      <c r="H284" s="164">
        <f>CHOOSE(IF($B$1=2,2,1),'GAAP-IFRS'!K68,IF('Broker Actual'!K68="-",'GAAP-IFRS'!K68,'Broker Actual'!K68))</f>
        <v>-930.1</v>
      </c>
      <c r="I284" s="164">
        <f>CHOOSE(IF($B$1=2,2,1),'GAAP-IFRS'!L68,IF('Broker Actual'!L68="-",'GAAP-IFRS'!L68,'Broker Actual'!L68))</f>
        <v>-1393.5</v>
      </c>
      <c r="J284" s="164">
        <f>CHOOSE(IF($B$1=2,2,1),'GAAP-IFRS'!M68,IF('Broker Actual'!M68="-",'GAAP-IFRS'!M68,'Broker Actual'!M68))</f>
        <v>-267.7</v>
      </c>
      <c r="K284" s="164">
        <f>CHOOSE(IF($B$1=2,2,1),'GAAP-IFRS'!N68,IF('Broker Actual'!N68="-",'GAAP-IFRS'!N68,'Broker Actual'!N68))</f>
        <v>-1340.6</v>
      </c>
      <c r="L284" s="164">
        <f>CHOOSE(IF($B$1=2,2,1),'GAAP-IFRS'!O68,IF('Broker Actual'!O68="-",'GAAP-IFRS'!O68,'Broker Actual'!O68))</f>
        <v>-955.9</v>
      </c>
      <c r="M284" s="139">
        <f>M283+M282+M279+M277+M272+M274+M275</f>
        <v>-821.86817542483391</v>
      </c>
      <c r="N284" s="139">
        <f t="shared" ref="N284:P284" si="374">N283+N282+N279+N277+N272+N274+N275</f>
        <v>-998.01974506514114</v>
      </c>
      <c r="O284" s="139">
        <f t="shared" si="374"/>
        <v>-999.08498520802289</v>
      </c>
      <c r="P284" s="139">
        <f t="shared" si="374"/>
        <v>-1081.9139032389123</v>
      </c>
      <c r="Q284" s="139">
        <f>Q283+Q282+Q279+Q277+Q272+Q274+Q275</f>
        <v>-1326.3997926832319</v>
      </c>
      <c r="R284" s="145"/>
      <c r="S284" s="145"/>
      <c r="T284" s="145"/>
      <c r="U284" s="146"/>
      <c r="V284" s="77"/>
      <c r="W284" s="75"/>
      <c r="X284" s="75"/>
      <c r="Y284" s="75"/>
      <c r="Z284" s="75"/>
      <c r="AA284" s="117"/>
      <c r="AB284" s="145"/>
      <c r="AC284" s="158"/>
    </row>
    <row r="285" spans="1:29" s="108" customFormat="1" outlineLevel="1" x14ac:dyDescent="0.15">
      <c r="A285" s="128" t="s">
        <v>110</v>
      </c>
      <c r="B285" s="138">
        <f>B284/B49</f>
        <v>-0.10588280046408126</v>
      </c>
      <c r="C285" s="138">
        <f t="shared" ref="C285:Q285" si="375">C284/C$49</f>
        <v>-3.8536575943131993E-3</v>
      </c>
      <c r="D285" s="138">
        <f t="shared" si="375"/>
        <v>-8.4360162516532347E-2</v>
      </c>
      <c r="E285" s="138">
        <f t="shared" si="375"/>
        <v>-6.6441158107591811E-2</v>
      </c>
      <c r="F285" s="138">
        <f t="shared" si="375"/>
        <v>-6.4273751867107223E-2</v>
      </c>
      <c r="G285" s="138">
        <f t="shared" si="375"/>
        <v>-4.4237516390828228E-2</v>
      </c>
      <c r="H285" s="138">
        <f t="shared" si="375"/>
        <v>-8.0191404060869942E-2</v>
      </c>
      <c r="I285" s="138">
        <f t="shared" si="375"/>
        <v>-0.11613564576752869</v>
      </c>
      <c r="J285" s="138">
        <f t="shared" si="375"/>
        <v>-2.03386997515594E-2</v>
      </c>
      <c r="K285" s="138">
        <f t="shared" si="375"/>
        <v>-0.11158834007557974</v>
      </c>
      <c r="L285" s="138">
        <f t="shared" si="375"/>
        <v>-7.9718121924776911E-2</v>
      </c>
      <c r="M285" s="138">
        <f t="shared" si="375"/>
        <v>-6.6032924921827399E-2</v>
      </c>
      <c r="N285" s="138">
        <f t="shared" si="375"/>
        <v>-7.4428557202102771E-2</v>
      </c>
      <c r="O285" s="138">
        <f t="shared" si="375"/>
        <v>-7.2605580905513223E-2</v>
      </c>
      <c r="P285" s="138">
        <f t="shared" si="375"/>
        <v>-7.7591734679044205E-2</v>
      </c>
      <c r="Q285" s="138">
        <f t="shared" si="375"/>
        <v>-9.4484707026589954E-2</v>
      </c>
      <c r="R285" s="145"/>
      <c r="S285" s="145"/>
      <c r="T285" s="145"/>
      <c r="U285" s="146"/>
      <c r="V285" s="77"/>
      <c r="W285" s="75"/>
      <c r="X285" s="75"/>
      <c r="Y285" s="75"/>
      <c r="Z285" s="75"/>
      <c r="AA285" s="117"/>
      <c r="AB285" s="145"/>
      <c r="AC285" s="158"/>
    </row>
    <row r="286" spans="1:29" s="108" customFormat="1" outlineLevel="1" x14ac:dyDescent="0.15">
      <c r="A286" s="78"/>
      <c r="B286" s="140"/>
      <c r="C286" s="140"/>
      <c r="D286" s="140"/>
      <c r="E286" s="140"/>
      <c r="F286" s="140"/>
      <c r="G286" s="140"/>
      <c r="H286" s="140"/>
      <c r="I286" s="140"/>
      <c r="J286" s="140"/>
      <c r="K286" s="140"/>
      <c r="L286" s="140"/>
      <c r="M286" s="75"/>
      <c r="N286" s="75"/>
      <c r="O286" s="75"/>
      <c r="P286" s="145"/>
      <c r="Q286" s="145"/>
      <c r="R286" s="145"/>
      <c r="S286" s="145"/>
      <c r="T286" s="145"/>
      <c r="U286" s="146"/>
      <c r="V286" s="77"/>
      <c r="W286" s="75"/>
      <c r="X286" s="75"/>
      <c r="Y286" s="75"/>
      <c r="Z286" s="75"/>
      <c r="AA286" s="117"/>
      <c r="AB286" s="145"/>
      <c r="AC286" s="158"/>
    </row>
    <row r="287" spans="1:29" outlineLevel="1" x14ac:dyDescent="0.15">
      <c r="A287" s="78" t="s">
        <v>150</v>
      </c>
      <c r="B287" s="142">
        <f t="shared" ref="B287:P287" si="376">B267+B284</f>
        <v>266.19999999999982</v>
      </c>
      <c r="C287" s="142">
        <f t="shared" si="376"/>
        <v>991.6</v>
      </c>
      <c r="D287" s="142">
        <f t="shared" si="376"/>
        <v>336.99999999999989</v>
      </c>
      <c r="E287" s="142">
        <f t="shared" si="376"/>
        <v>579.09999999999991</v>
      </c>
      <c r="F287" s="142">
        <f t="shared" si="376"/>
        <v>406.09999999999991</v>
      </c>
      <c r="G287" s="142">
        <f t="shared" si="376"/>
        <v>664.8</v>
      </c>
      <c r="H287" s="142">
        <f t="shared" si="376"/>
        <v>606.4</v>
      </c>
      <c r="I287" s="142">
        <f t="shared" si="376"/>
        <v>348.09999999999991</v>
      </c>
      <c r="J287" s="142">
        <f t="shared" si="376"/>
        <v>329.8</v>
      </c>
      <c r="K287" s="142">
        <f t="shared" si="376"/>
        <v>46.900000000000091</v>
      </c>
      <c r="L287" s="142">
        <f t="shared" si="376"/>
        <v>462.80000000000007</v>
      </c>
      <c r="M287" s="142">
        <f t="shared" si="376"/>
        <v>852.40756886202576</v>
      </c>
      <c r="N287" s="142">
        <f t="shared" si="376"/>
        <v>1160.8941948216416</v>
      </c>
      <c r="O287" s="142">
        <f t="shared" si="376"/>
        <v>1258.7229000814077</v>
      </c>
      <c r="P287" s="142">
        <f t="shared" si="376"/>
        <v>845.01589932778734</v>
      </c>
      <c r="Q287" s="142">
        <f>Q267+Q284</f>
        <v>491.88298196815572</v>
      </c>
      <c r="R287" s="117"/>
      <c r="S287" s="117"/>
      <c r="T287" s="117"/>
      <c r="U287" s="194"/>
      <c r="AA287" s="117"/>
      <c r="AB287" s="117"/>
      <c r="AC287" s="120"/>
    </row>
    <row r="288" spans="1:29" outlineLevel="1" x14ac:dyDescent="0.15">
      <c r="A288" s="78" t="s">
        <v>151</v>
      </c>
      <c r="B288" s="142">
        <f t="shared" ref="B288:L288" si="377">B287+B293</f>
        <v>132.39999999999981</v>
      </c>
      <c r="C288" s="142">
        <f t="shared" si="377"/>
        <v>845.1</v>
      </c>
      <c r="D288" s="142">
        <f t="shared" si="377"/>
        <v>177.59999999999988</v>
      </c>
      <c r="E288" s="142">
        <f t="shared" si="377"/>
        <v>404.89999999999992</v>
      </c>
      <c r="F288" s="142">
        <f t="shared" si="377"/>
        <v>223.49999999999991</v>
      </c>
      <c r="G288" s="142">
        <f t="shared" si="377"/>
        <v>468.79999999999995</v>
      </c>
      <c r="H288" s="142">
        <f t="shared" si="377"/>
        <v>390.79999999999995</v>
      </c>
      <c r="I288" s="142">
        <f t="shared" si="377"/>
        <v>118.89999999999992</v>
      </c>
      <c r="J288" s="142">
        <f t="shared" si="377"/>
        <v>97.9</v>
      </c>
      <c r="K288" s="142">
        <f t="shared" si="377"/>
        <v>-192.49999999999991</v>
      </c>
      <c r="L288" s="142">
        <f t="shared" si="377"/>
        <v>208.60000000000008</v>
      </c>
      <c r="M288" s="142">
        <f>M287+M293</f>
        <v>544.27865472185727</v>
      </c>
      <c r="N288" s="142">
        <f t="shared" ref="N288:O288" si="378">N287+N293</f>
        <v>837.5188575970252</v>
      </c>
      <c r="O288" s="142">
        <f t="shared" si="378"/>
        <v>927.53451041974904</v>
      </c>
      <c r="P288" s="142">
        <f>P287+P293</f>
        <v>540.81365453275373</v>
      </c>
      <c r="Q288" s="142">
        <f>Q287+Q293</f>
        <v>201.09335721868183</v>
      </c>
      <c r="R288" s="117"/>
      <c r="S288" s="117"/>
      <c r="T288" s="117"/>
      <c r="U288" s="118"/>
      <c r="AA288" s="117"/>
      <c r="AB288" s="117" cm="1">
        <f t="array" ref="AB288">_xll.FDSC("--",$A$1,"FF_CAPEX_FIX(LTM_R,0,,,,"&amp;$E$1&amp;")@FF_CAPEX_FIX(LTM_SEMI_R,0,,,,"&amp;$E$1&amp;")")</f>
        <v>120.5</v>
      </c>
      <c r="AC288" s="120"/>
    </row>
    <row r="289" spans="1:29" outlineLevel="1" x14ac:dyDescent="0.15">
      <c r="A289" s="78" t="s">
        <v>152</v>
      </c>
      <c r="B289" s="117"/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369">
        <v>0.3</v>
      </c>
      <c r="N289" s="369">
        <v>0.3</v>
      </c>
      <c r="O289" s="369">
        <v>0.3</v>
      </c>
      <c r="P289" s="369">
        <v>0.3</v>
      </c>
      <c r="Q289" s="369">
        <v>0.3</v>
      </c>
      <c r="R289" s="117"/>
      <c r="S289" s="117"/>
      <c r="T289" s="117"/>
      <c r="U289" s="118"/>
      <c r="AB289" s="117"/>
      <c r="AC289" s="120"/>
    </row>
    <row r="290" spans="1:29" outlineLevel="1" x14ac:dyDescent="0.15">
      <c r="A290" s="78" t="s">
        <v>153</v>
      </c>
      <c r="B290" s="117"/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484">
        <f>1-M289</f>
        <v>0.7</v>
      </c>
      <c r="N290" s="484">
        <f t="shared" ref="N290:Q290" si="379">1-N289</f>
        <v>0.7</v>
      </c>
      <c r="O290" s="484">
        <f t="shared" si="379"/>
        <v>0.7</v>
      </c>
      <c r="P290" s="484">
        <f t="shared" si="379"/>
        <v>0.7</v>
      </c>
      <c r="Q290" s="484">
        <f t="shared" si="379"/>
        <v>0.7</v>
      </c>
      <c r="R290" s="117"/>
      <c r="S290" s="117"/>
      <c r="T290" s="117"/>
      <c r="U290" s="118"/>
      <c r="AB290" s="117"/>
      <c r="AC290" s="120"/>
    </row>
    <row r="291" spans="1:29" outlineLevel="1" x14ac:dyDescent="0.15">
      <c r="B291" s="117"/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P291" s="117"/>
      <c r="Q291" s="117"/>
      <c r="R291" s="117"/>
      <c r="S291" s="117"/>
      <c r="T291" s="117"/>
      <c r="U291" s="118"/>
      <c r="AB291" s="117"/>
      <c r="AC291" s="120"/>
    </row>
    <row r="292" spans="1:29" outlineLevel="1" x14ac:dyDescent="0.15">
      <c r="A292" s="108" t="s">
        <v>154</v>
      </c>
      <c r="B292" s="117"/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P292" s="117"/>
      <c r="Q292" s="117"/>
      <c r="R292" s="117"/>
      <c r="S292" s="117"/>
      <c r="T292" s="117"/>
      <c r="U292" s="118"/>
      <c r="AB292" s="117"/>
      <c r="AC292" s="120"/>
    </row>
    <row r="293" spans="1:29" outlineLevel="1" x14ac:dyDescent="0.15">
      <c r="A293" s="78" t="s">
        <v>155</v>
      </c>
      <c r="B293" s="140">
        <f>CHOOSE(IF($B$1=2,2,1),'GAAP-IFRS'!E71,IF('Broker Actual'!E71="-",'GAAP-IFRS'!E71,'Broker Actual'!E71))</f>
        <v>-133.80000000000001</v>
      </c>
      <c r="C293" s="140">
        <f>CHOOSE(IF($B$1=2,2,1),'GAAP-IFRS'!F71,IF('Broker Actual'!F71="-",'GAAP-IFRS'!F71,'Broker Actual'!F71))</f>
        <v>-146.5</v>
      </c>
      <c r="D293" s="140">
        <f>CHOOSE(IF($B$1=2,2,1),'GAAP-IFRS'!G71,IF('Broker Actual'!G71="-",'GAAP-IFRS'!G71,'Broker Actual'!G71))</f>
        <v>-159.4</v>
      </c>
      <c r="E293" s="140">
        <f>CHOOSE(IF($B$1=2,2,1),'GAAP-IFRS'!H71,IF('Broker Actual'!H71="-",'GAAP-IFRS'!H71,'Broker Actual'!H71))</f>
        <v>-174.2</v>
      </c>
      <c r="F293" s="140">
        <f>CHOOSE(IF($B$1=2,2,1),'GAAP-IFRS'!I71,IF('Broker Actual'!I71="-",'GAAP-IFRS'!I71,'Broker Actual'!I71))</f>
        <v>-182.6</v>
      </c>
      <c r="G293" s="140">
        <f>CHOOSE(IF($B$1=2,2,1),'GAAP-IFRS'!J71,IF('Broker Actual'!J71="-",'GAAP-IFRS'!J71,'Broker Actual'!J71))</f>
        <v>-196</v>
      </c>
      <c r="H293" s="140">
        <f>CHOOSE(IF($B$1=2,2,1),'GAAP-IFRS'!K71,IF('Broker Actual'!K71="-",'GAAP-IFRS'!K71,'Broker Actual'!K71))</f>
        <v>-215.6</v>
      </c>
      <c r="I293" s="140">
        <f>CHOOSE(IF($B$1=2,2,1),'GAAP-IFRS'!L71,IF('Broker Actual'!L71="-",'GAAP-IFRS'!L71,'Broker Actual'!L71))</f>
        <v>-229.2</v>
      </c>
      <c r="J293" s="140">
        <f>CHOOSE(IF($B$1=2,2,1),'GAAP-IFRS'!M71,IF('Broker Actual'!M71="-",'GAAP-IFRS'!M71,'Broker Actual'!M71))</f>
        <v>-231.9</v>
      </c>
      <c r="K293" s="140">
        <f>CHOOSE(IF($B$1=2,2,1),'GAAP-IFRS'!N71,IF('Broker Actual'!N71="-",'GAAP-IFRS'!N71,'Broker Actual'!N71))</f>
        <v>-239.4</v>
      </c>
      <c r="L293" s="140">
        <f>CHOOSE(IF($B$1=2,2,1),'GAAP-IFRS'!O71,IF('Broker Actual'!O71="-",'GAAP-IFRS'!O71,'Broker Actual'!O71))</f>
        <v>-254.2</v>
      </c>
      <c r="M293" s="139">
        <f>M294*M115</f>
        <v>-308.12891414016849</v>
      </c>
      <c r="N293" s="139">
        <f>N294*N115</f>
        <v>-323.37533722461637</v>
      </c>
      <c r="O293" s="139">
        <f>O294*O115</f>
        <v>-331.18838966165862</v>
      </c>
      <c r="P293" s="139">
        <f>P294*P115</f>
        <v>-304.20224479503361</v>
      </c>
      <c r="Q293" s="139">
        <f>Q294*Q115</f>
        <v>-290.78962474947389</v>
      </c>
      <c r="R293" s="117"/>
      <c r="S293" s="117"/>
      <c r="T293" s="117"/>
      <c r="U293" s="118"/>
      <c r="AB293" s="117"/>
      <c r="AC293" s="120"/>
    </row>
    <row r="294" spans="1:29" outlineLevel="1" x14ac:dyDescent="0.15">
      <c r="A294" s="78" t="s">
        <v>523</v>
      </c>
      <c r="B294" s="138">
        <f t="shared" ref="B294:L294" si="380">B293/B115</f>
        <v>-0.14959749552772811</v>
      </c>
      <c r="C294" s="138">
        <f t="shared" si="380"/>
        <v>-0.17072602260808764</v>
      </c>
      <c r="D294" s="138">
        <f t="shared" si="380"/>
        <v>-0.38558297048863088</v>
      </c>
      <c r="E294" s="138">
        <f t="shared" si="380"/>
        <v>-0.20089955022488754</v>
      </c>
      <c r="F294" s="138">
        <f t="shared" si="380"/>
        <v>-0.19604895855701096</v>
      </c>
      <c r="G294" s="138">
        <f t="shared" si="380"/>
        <v>-0.19714343190504927</v>
      </c>
      <c r="H294" s="138">
        <f t="shared" si="380"/>
        <v>-0.41192204814673289</v>
      </c>
      <c r="I294" s="138">
        <f t="shared" si="380"/>
        <v>-0.20830682541125148</v>
      </c>
      <c r="J294" s="138">
        <f t="shared" si="380"/>
        <v>-0.2306544658842252</v>
      </c>
      <c r="K294" s="138">
        <f t="shared" si="380"/>
        <v>-0.26877736611653757</v>
      </c>
      <c r="L294" s="138">
        <f t="shared" si="380"/>
        <v>-0.20266283983098143</v>
      </c>
      <c r="M294" s="486">
        <f>L294</f>
        <v>-0.20266283983098143</v>
      </c>
      <c r="N294" s="486">
        <f t="shared" ref="N294:Q294" si="381">M294</f>
        <v>-0.20266283983098143</v>
      </c>
      <c r="O294" s="486">
        <f t="shared" si="381"/>
        <v>-0.20266283983098143</v>
      </c>
      <c r="P294" s="486">
        <f t="shared" si="381"/>
        <v>-0.20266283983098143</v>
      </c>
      <c r="Q294" s="486">
        <f t="shared" si="381"/>
        <v>-0.20266283983098143</v>
      </c>
      <c r="R294" s="117"/>
      <c r="S294" s="117"/>
      <c r="T294" s="117"/>
      <c r="U294" s="118"/>
      <c r="AB294" s="117"/>
      <c r="AC294" s="120"/>
    </row>
    <row r="295" spans="1:29" outlineLevel="1" x14ac:dyDescent="0.15">
      <c r="A295" s="78" t="s">
        <v>156</v>
      </c>
      <c r="B295" s="140">
        <f>CHOOSE(IF($B$1=2,2,1),'GAAP-IFRS'!E72,IF('Broker Actual'!E72="-",'GAAP-IFRS'!E72,'Broker Actual'!E72))</f>
        <v>319.89999999999998</v>
      </c>
      <c r="C295" s="140">
        <f>CHOOSE(IF($B$1=2,2,1),'GAAP-IFRS'!F72,IF('Broker Actual'!F72="-",'GAAP-IFRS'!F72,'Broker Actual'!F72))</f>
        <v>-495.5</v>
      </c>
      <c r="D295" s="140">
        <f>CHOOSE(IF($B$1=2,2,1),'GAAP-IFRS'!G72,IF('Broker Actual'!G72="-",'GAAP-IFRS'!G72,'Broker Actual'!G72))</f>
        <v>160.6</v>
      </c>
      <c r="E295" s="140">
        <f>CHOOSE(IF($B$1=2,2,1),'GAAP-IFRS'!H72,IF('Broker Actual'!H72="-",'GAAP-IFRS'!H72,'Broker Actual'!H72))</f>
        <v>45.1</v>
      </c>
      <c r="F295" s="140">
        <f>CHOOSE(IF($B$1=2,2,1),'GAAP-IFRS'!I72,IF('Broker Actual'!I72="-",'GAAP-IFRS'!I72,'Broker Actual'!I72))</f>
        <v>195.1</v>
      </c>
      <c r="G295" s="140">
        <f>CHOOSE(IF($B$1=2,2,1),'GAAP-IFRS'!J72,IF('Broker Actual'!J72="-",'GAAP-IFRS'!J72,'Broker Actual'!J72))</f>
        <v>-63.5</v>
      </c>
      <c r="H295" s="140">
        <f>CHOOSE(IF($B$1=2,2,1),'GAAP-IFRS'!K72,IF('Broker Actual'!K72="-",'GAAP-IFRS'!K72,'Broker Actual'!K72))</f>
        <v>30.7</v>
      </c>
      <c r="I295" s="140">
        <f>CHOOSE(IF($B$1=2,2,1),'GAAP-IFRS'!L72,IF('Broker Actual'!L72="-",'GAAP-IFRS'!L72,'Broker Actual'!L72))</f>
        <v>348.8</v>
      </c>
      <c r="J295" s="140">
        <f>CHOOSE(IF($B$1=2,2,1),'GAAP-IFRS'!M72,IF('Broker Actual'!M72="-",'GAAP-IFRS'!M72,'Broker Actual'!M72))</f>
        <v>14.1</v>
      </c>
      <c r="K295" s="140">
        <f>CHOOSE(IF($B$1=2,2,1),'GAAP-IFRS'!N72,IF('Broker Actual'!N72="-",'GAAP-IFRS'!N72,'Broker Actual'!N72))</f>
        <v>88.1</v>
      </c>
      <c r="L295" s="140">
        <f>CHOOSE(IF($B$1=2,2,1),'GAAP-IFRS'!O72,IF('Broker Actual'!O72="-",'GAAP-IFRS'!O72,'Broker Actual'!O72))</f>
        <v>-14.8</v>
      </c>
      <c r="M295" s="139">
        <f>-M289*M288</f>
        <v>-163.28359641655717</v>
      </c>
      <c r="N295" s="139">
        <f t="shared" ref="N295:Q295" si="382">-N289*N288</f>
        <v>-251.25565727910754</v>
      </c>
      <c r="O295" s="139">
        <f t="shared" si="382"/>
        <v>-278.26035312592472</v>
      </c>
      <c r="P295" s="139">
        <f t="shared" si="382"/>
        <v>-162.2440963598261</v>
      </c>
      <c r="Q295" s="139">
        <f t="shared" si="382"/>
        <v>-60.328007165604546</v>
      </c>
      <c r="R295" s="117"/>
      <c r="S295" s="117"/>
      <c r="T295" s="117"/>
      <c r="U295" s="118"/>
      <c r="AB295" s="117"/>
      <c r="AC295" s="120"/>
    </row>
    <row r="296" spans="1:29" outlineLevel="1" x14ac:dyDescent="0.15">
      <c r="A296" s="78" t="s">
        <v>157</v>
      </c>
      <c r="B296" s="140">
        <f>CHOOSE(IF($B$1=2,2,1),'GAAP-IFRS'!E73,IF('Broker Actual'!E73="-",'GAAP-IFRS'!E73,'Broker Actual'!E73))</f>
        <v>-491.8</v>
      </c>
      <c r="C296" s="140">
        <f>CHOOSE(IF($B$1=2,2,1),'GAAP-IFRS'!F73,IF('Broker Actual'!F73="-",'GAAP-IFRS'!F73,'Broker Actual'!F73))</f>
        <v>-305.8</v>
      </c>
      <c r="D296" s="140">
        <f>CHOOSE(IF($B$1=2,2,1),'GAAP-IFRS'!G73,IF('Broker Actual'!G73="-",'GAAP-IFRS'!G73,'Broker Actual'!G73))</f>
        <v>-293.7</v>
      </c>
      <c r="E296" s="140">
        <f>CHOOSE(IF($B$1=2,2,1),'GAAP-IFRS'!H73,IF('Broker Actual'!H73="-",'GAAP-IFRS'!H73,'Broker Actual'!H73))</f>
        <v>-411.5</v>
      </c>
      <c r="F296" s="140">
        <f>CHOOSE(IF($B$1=2,2,1),'GAAP-IFRS'!I73,IF('Broker Actual'!I73="-",'GAAP-IFRS'!I73,'Broker Actual'!I73))</f>
        <v>-396.7</v>
      </c>
      <c r="G296" s="140">
        <f>CHOOSE(IF($B$1=2,2,1),'GAAP-IFRS'!J73,IF('Broker Actual'!J73="-",'GAAP-IFRS'!J73,'Broker Actual'!J73))</f>
        <v>-391</v>
      </c>
      <c r="H296" s="140">
        <f>CHOOSE(IF($B$1=2,2,1),'GAAP-IFRS'!K73,IF('Broker Actual'!K73="-",'GAAP-IFRS'!K73,'Broker Actual'!K73))</f>
        <v>-351.6</v>
      </c>
      <c r="I296" s="140">
        <f>CHOOSE(IF($B$1=2,2,1),'GAAP-IFRS'!L73,IF('Broker Actual'!L73="-",'GAAP-IFRS'!L73,'Broker Actual'!L73))</f>
        <v>-394.2</v>
      </c>
      <c r="J296" s="140">
        <f>CHOOSE(IF($B$1=2,2,1),'GAAP-IFRS'!M73,IF('Broker Actual'!M73="-",'GAAP-IFRS'!M73,'Broker Actual'!M73))</f>
        <v>4.4000000000000004</v>
      </c>
      <c r="K296" s="140">
        <f>CHOOSE(IF($B$1=2,2,1),'GAAP-IFRS'!N73,IF('Broker Actual'!N73="-",'GAAP-IFRS'!N73,'Broker Actual'!N73))</f>
        <v>-46.6</v>
      </c>
      <c r="L296" s="140">
        <f>CHOOSE(IF($B$1=2,2,1),'GAAP-IFRS'!O73,IF('Broker Actual'!O73="-",'GAAP-IFRS'!O73,'Broker Actual'!O73))</f>
        <v>-196.1</v>
      </c>
      <c r="M296" s="139">
        <f>-M288*M290</f>
        <v>-380.99505830530006</v>
      </c>
      <c r="N296" s="139">
        <f>-N288*N290</f>
        <v>-586.26320031791761</v>
      </c>
      <c r="O296" s="139">
        <f t="shared" ref="O296:P296" si="383">-O288*O290</f>
        <v>-649.27415729382426</v>
      </c>
      <c r="P296" s="139">
        <f t="shared" si="383"/>
        <v>-378.5695581729276</v>
      </c>
      <c r="Q296" s="139">
        <f>-Q288*Q290</f>
        <v>-140.76535005307727</v>
      </c>
      <c r="R296" s="117"/>
      <c r="S296" s="117"/>
      <c r="T296" s="117"/>
      <c r="U296" s="118"/>
      <c r="AB296" s="117"/>
      <c r="AC296" s="120"/>
    </row>
    <row r="297" spans="1:29" outlineLevel="1" x14ac:dyDescent="0.15">
      <c r="A297" s="78" t="s">
        <v>134</v>
      </c>
      <c r="B297" s="140">
        <f>CHOOSE(IF($B$1=2,2,1),'GAAP-IFRS'!E74,IF('Broker Actual'!E74="-",'GAAP-IFRS'!E74,'Broker Actual'!E74))</f>
        <v>0.2</v>
      </c>
      <c r="C297" s="140">
        <f>CHOOSE(IF($B$1=2,2,1),'GAAP-IFRS'!F74,IF('Broker Actual'!F74="-",'GAAP-IFRS'!F74,'Broker Actual'!F74))</f>
        <v>-27</v>
      </c>
      <c r="D297" s="140">
        <f>CHOOSE(IF($B$1=2,2,1),'GAAP-IFRS'!G74,IF('Broker Actual'!G74="-",'GAAP-IFRS'!G74,'Broker Actual'!G74))</f>
        <v>-36.1</v>
      </c>
      <c r="E297" s="140">
        <f>CHOOSE(IF($B$1=2,2,1),'GAAP-IFRS'!H74,IF('Broker Actual'!H74="-",'GAAP-IFRS'!H74,'Broker Actual'!H74))</f>
        <v>-28.1</v>
      </c>
      <c r="F297" s="140">
        <f>CHOOSE(IF($B$1=2,2,1),'GAAP-IFRS'!I74,IF('Broker Actual'!I74="-",'GAAP-IFRS'!I74,'Broker Actual'!I74))</f>
        <v>-34.4</v>
      </c>
      <c r="G297" s="140">
        <f>CHOOSE(IF($B$1=2,2,1),'GAAP-IFRS'!J74,IF('Broker Actual'!J74="-",'GAAP-IFRS'!J74,'Broker Actual'!J74))</f>
        <v>-37.299999999999997</v>
      </c>
      <c r="H297" s="140">
        <f>CHOOSE(IF($B$1=2,2,1),'GAAP-IFRS'!K74,IF('Broker Actual'!K74="-",'GAAP-IFRS'!K74,'Broker Actual'!K74))</f>
        <v>-53.3</v>
      </c>
      <c r="I297" s="140">
        <f>CHOOSE(IF($B$1=2,2,1),'GAAP-IFRS'!L74,IF('Broker Actual'!L74="-",'GAAP-IFRS'!L74,'Broker Actual'!L74))</f>
        <v>-83.4</v>
      </c>
      <c r="J297" s="140">
        <f>CHOOSE(IF($B$1=2,2,1),'GAAP-IFRS'!M74,IF('Broker Actual'!M74="-",'GAAP-IFRS'!M74,'Broker Actual'!M74))</f>
        <v>-3.5</v>
      </c>
      <c r="K297" s="140">
        <f>CHOOSE(IF($B$1=2,2,1),'GAAP-IFRS'!N74,IF('Broker Actual'!N74="-",'GAAP-IFRS'!N74,'Broker Actual'!N74))</f>
        <v>29</v>
      </c>
      <c r="L297" s="140">
        <f>CHOOSE(IF($B$1=2,2,1),'GAAP-IFRS'!O74,IF('Broker Actual'!O74="-",'GAAP-IFRS'!O74,'Broker Actual'!O74))</f>
        <v>46.5</v>
      </c>
      <c r="M297" s="434">
        <f>AVERAGE(H297:L297)</f>
        <v>-12.939999999999998</v>
      </c>
      <c r="N297" s="434">
        <f t="shared" ref="N297:Q297" si="384">AVERAGE(I297:M297)</f>
        <v>-4.8680000000000003</v>
      </c>
      <c r="O297" s="434">
        <f t="shared" si="384"/>
        <v>10.8384</v>
      </c>
      <c r="P297" s="434">
        <f t="shared" si="384"/>
        <v>13.70608</v>
      </c>
      <c r="Q297" s="434">
        <f t="shared" si="384"/>
        <v>10.647296000000001</v>
      </c>
      <c r="R297" s="117"/>
      <c r="S297" s="117"/>
      <c r="T297" s="117"/>
      <c r="U297" s="118"/>
      <c r="AB297" s="117"/>
      <c r="AC297" s="120"/>
    </row>
    <row r="298" spans="1:29" s="108" customFormat="1" outlineLevel="1" x14ac:dyDescent="0.15">
      <c r="A298" s="108" t="s">
        <v>158</v>
      </c>
      <c r="B298" s="164">
        <f>CHOOSE(IF($B$1=2,2,1),'GAAP-IFRS'!E75,IF('Broker Actual'!E75="-",'GAAP-IFRS'!E75,'Broker Actual'!E75))</f>
        <v>-305.5</v>
      </c>
      <c r="C298" s="164">
        <f>CHOOSE(IF($B$1=2,2,1),'GAAP-IFRS'!F75,IF('Broker Actual'!F75="-",'GAAP-IFRS'!F75,'Broker Actual'!F75))</f>
        <v>-974.8</v>
      </c>
      <c r="D298" s="164">
        <f>CHOOSE(IF($B$1=2,2,1),'GAAP-IFRS'!G75,IF('Broker Actual'!G75="-",'GAAP-IFRS'!G75,'Broker Actual'!G75))</f>
        <v>-328.6</v>
      </c>
      <c r="E298" s="164">
        <f>CHOOSE(IF($B$1=2,2,1),'GAAP-IFRS'!H75,IF('Broker Actual'!H75="-",'GAAP-IFRS'!H75,'Broker Actual'!H75))</f>
        <v>-704.5</v>
      </c>
      <c r="F298" s="164">
        <f>CHOOSE(IF($B$1=2,2,1),'GAAP-IFRS'!I75,IF('Broker Actual'!I75="-",'GAAP-IFRS'!I75,'Broker Actual'!I75))</f>
        <v>-418.6</v>
      </c>
      <c r="G298" s="164">
        <f>CHOOSE(IF($B$1=2,2,1),'GAAP-IFRS'!J75,IF('Broker Actual'!J75="-",'GAAP-IFRS'!J75,'Broker Actual'!J75))</f>
        <v>-687.8</v>
      </c>
      <c r="H298" s="164">
        <f>CHOOSE(IF($B$1=2,2,1),'GAAP-IFRS'!K75,IF('Broker Actual'!K75="-",'GAAP-IFRS'!K75,'Broker Actual'!K75))</f>
        <v>-589.79999999999995</v>
      </c>
      <c r="I298" s="164">
        <f>CHOOSE(IF($B$1=2,2,1),'GAAP-IFRS'!L75,IF('Broker Actual'!L75="-",'GAAP-IFRS'!L75,'Broker Actual'!L75))</f>
        <v>-358</v>
      </c>
      <c r="J298" s="164">
        <f>CHOOSE(IF($B$1=2,2,1),'GAAP-IFRS'!M75,IF('Broker Actual'!M75="-",'GAAP-IFRS'!M75,'Broker Actual'!M75))</f>
        <v>-216.9</v>
      </c>
      <c r="K298" s="164">
        <f>CHOOSE(IF($B$1=2,2,1),'GAAP-IFRS'!N75,IF('Broker Actual'!N75="-",'GAAP-IFRS'!N75,'Broker Actual'!N75))</f>
        <v>-168.9</v>
      </c>
      <c r="L298" s="164">
        <f>CHOOSE(IF($B$1=2,2,1),'GAAP-IFRS'!O75,IF('Broker Actual'!O75="-",'GAAP-IFRS'!O75,'Broker Actual'!O75))</f>
        <v>-418.6</v>
      </c>
      <c r="M298" s="139">
        <f>M297+M296+M295+M293</f>
        <v>-865.3475688620257</v>
      </c>
      <c r="N298" s="139">
        <f t="shared" ref="N298:Q298" si="385">N297+N296+N295+N293</f>
        <v>-1165.7621948216415</v>
      </c>
      <c r="O298" s="139">
        <f t="shared" si="385"/>
        <v>-1247.8845000814076</v>
      </c>
      <c r="P298" s="139">
        <f t="shared" si="385"/>
        <v>-831.3098193277873</v>
      </c>
      <c r="Q298" s="139">
        <f t="shared" si="385"/>
        <v>-481.23568596815568</v>
      </c>
      <c r="R298" s="145"/>
      <c r="S298" s="145"/>
      <c r="T298" s="145"/>
      <c r="U298" s="146"/>
      <c r="V298" s="77"/>
      <c r="W298" s="75"/>
      <c r="X298" s="75"/>
      <c r="Y298" s="75"/>
      <c r="Z298" s="75"/>
      <c r="AA298" s="78"/>
      <c r="AB298" s="145" cm="1">
        <f t="array" ref="AB298">_xll.FDSC("--",$A$1,"FF_INVEST_CF(LTM_R,0,,,,"&amp;$E$1&amp;")@FF_INVEST_CF(LTM_SEMI_R,0,,,,"&amp;$E$1&amp;")")</f>
        <v>-763.3</v>
      </c>
      <c r="AC298" s="158"/>
    </row>
    <row r="299" spans="1:29" outlineLevel="1" x14ac:dyDescent="0.15">
      <c r="B299" s="117"/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P299" s="117"/>
      <c r="Q299" s="117"/>
      <c r="R299" s="117"/>
      <c r="S299" s="117"/>
      <c r="T299" s="117"/>
      <c r="U299" s="118"/>
      <c r="AB299" s="117"/>
      <c r="AC299" s="120"/>
    </row>
    <row r="300" spans="1:29" outlineLevel="1" x14ac:dyDescent="0.15">
      <c r="A300" s="108" t="s">
        <v>160</v>
      </c>
      <c r="B300" s="140"/>
      <c r="C300" s="140"/>
      <c r="D300" s="140"/>
      <c r="E300" s="140"/>
      <c r="F300" s="140"/>
      <c r="G300" s="140"/>
      <c r="H300" s="140"/>
      <c r="I300" s="140"/>
      <c r="J300" s="140"/>
      <c r="K300" s="140"/>
      <c r="L300" s="140"/>
      <c r="P300" s="117"/>
      <c r="Q300" s="117"/>
      <c r="R300" s="117"/>
      <c r="S300" s="117"/>
      <c r="T300" s="117"/>
      <c r="U300" s="194"/>
      <c r="AB300" s="117"/>
      <c r="AC300" s="120"/>
    </row>
    <row r="301" spans="1:29" outlineLevel="1" x14ac:dyDescent="0.15">
      <c r="A301" s="78" t="s">
        <v>161</v>
      </c>
      <c r="B301" s="140" t="str">
        <f>CHOOSE(IF($B$1=2,2,1),'GAAP-IFRS'!E78,IF('Broker Actual'!E78="-",'GAAP-IFRS'!E78,'Broker Actual'!E78))</f>
        <v/>
      </c>
      <c r="C301" s="140" t="str">
        <f>CHOOSE(IF($B$1=2,2,1),'GAAP-IFRS'!F78,IF('Broker Actual'!F78="-",'GAAP-IFRS'!F78,'Broker Actual'!F78))</f>
        <v/>
      </c>
      <c r="D301" s="140" t="str">
        <f>CHOOSE(IF($B$1=2,2,1),'GAAP-IFRS'!G78,IF('Broker Actual'!G78="-",'GAAP-IFRS'!G78,'Broker Actual'!G78))</f>
        <v/>
      </c>
      <c r="E301" s="140" t="str">
        <f>CHOOSE(IF($B$1=2,2,1),'GAAP-IFRS'!H78,IF('Broker Actual'!H78="-",'GAAP-IFRS'!H78,'Broker Actual'!H78))</f>
        <v/>
      </c>
      <c r="F301" s="140" t="str">
        <f>CHOOSE(IF($B$1=2,2,1),'GAAP-IFRS'!I78,IF('Broker Actual'!I78="-",'GAAP-IFRS'!I78,'Broker Actual'!I78))</f>
        <v/>
      </c>
      <c r="G301" s="140" t="str">
        <f>CHOOSE(IF($B$1=2,2,1),'GAAP-IFRS'!J78,IF('Broker Actual'!J78="-",'GAAP-IFRS'!J78,'Broker Actual'!J78))</f>
        <v/>
      </c>
      <c r="H301" s="140" t="str">
        <f>CHOOSE(IF($B$1=2,2,1),'GAAP-IFRS'!K78,IF('Broker Actual'!K78="-",'GAAP-IFRS'!K78,'Broker Actual'!K78))</f>
        <v/>
      </c>
      <c r="I301" s="140" t="str">
        <f>CHOOSE(IF($B$1=2,2,1),'GAAP-IFRS'!L78,IF('Broker Actual'!L78="-",'GAAP-IFRS'!L78,'Broker Actual'!L78))</f>
        <v/>
      </c>
      <c r="J301" s="140" t="str">
        <f>CHOOSE(IF($B$1=2,2,1),'GAAP-IFRS'!M78,IF('Broker Actual'!M78="-",'GAAP-IFRS'!M78,'Broker Actual'!M78))</f>
        <v/>
      </c>
      <c r="K301" s="140" t="str">
        <f>CHOOSE(IF($B$1=2,2,1),'GAAP-IFRS'!N78,IF('Broker Actual'!N78="-",'GAAP-IFRS'!N78,'Broker Actual'!N78))</f>
        <v/>
      </c>
      <c r="L301" s="140" t="str">
        <f>CHOOSE(IF($B$1=2,2,1),'GAAP-IFRS'!O78,IF('Broker Actual'!O78="-",'GAAP-IFRS'!O78,'Broker Actual'!O78))</f>
        <v/>
      </c>
      <c r="P301" s="117"/>
      <c r="Q301" s="117"/>
      <c r="R301" s="117"/>
      <c r="S301" s="117"/>
      <c r="T301" s="117"/>
      <c r="U301" s="118"/>
      <c r="AB301" s="117"/>
      <c r="AC301" s="120"/>
    </row>
    <row r="302" spans="1:29" outlineLevel="1" x14ac:dyDescent="0.15">
      <c r="A302" s="78" t="s">
        <v>162</v>
      </c>
      <c r="B302" s="140">
        <f>CHOOSE(IF($B$1=2,2,1),'GAAP-IFRS'!E79,IF('Broker Actual'!E79="-",'GAAP-IFRS'!E79,'Broker Actual'!E79))</f>
        <v>-39.299999999999997</v>
      </c>
      <c r="C302" s="140">
        <f>CHOOSE(IF($B$1=2,2,1),'GAAP-IFRS'!F79,IF('Broker Actual'!F79="-",'GAAP-IFRS'!F79,'Broker Actual'!F79))</f>
        <v>16.8</v>
      </c>
      <c r="D302" s="140">
        <f>CHOOSE(IF($B$1=2,2,1),'GAAP-IFRS'!G79,IF('Broker Actual'!G79="-",'GAAP-IFRS'!G79,'Broker Actual'!G79))</f>
        <v>8.4</v>
      </c>
      <c r="E302" s="140">
        <f>CHOOSE(IF($B$1=2,2,1),'GAAP-IFRS'!H79,IF('Broker Actual'!H79="-",'GAAP-IFRS'!H79,'Broker Actual'!H79))</f>
        <v>10.4</v>
      </c>
      <c r="F302" s="140">
        <f>CHOOSE(IF($B$1=2,2,1),'GAAP-IFRS'!I79,IF('Broker Actual'!I79="-",'GAAP-IFRS'!I79,'Broker Actual'!I79))</f>
        <v>-12.5</v>
      </c>
      <c r="G302" s="140">
        <f>CHOOSE(IF($B$1=2,2,1),'GAAP-IFRS'!J79,IF('Broker Actual'!J79="-",'GAAP-IFRS'!J79,'Broker Actual'!J79))</f>
        <v>-23</v>
      </c>
      <c r="H302" s="140">
        <f>CHOOSE(IF($B$1=2,2,1),'GAAP-IFRS'!K79,IF('Broker Actual'!K79="-",'GAAP-IFRS'!K79,'Broker Actual'!K79))</f>
        <v>16.600000000000001</v>
      </c>
      <c r="I302" s="140">
        <f>CHOOSE(IF($B$1=2,2,1),'GAAP-IFRS'!L79,IF('Broker Actual'!L79="-",'GAAP-IFRS'!L79,'Broker Actual'!L79))</f>
        <v>-9.9</v>
      </c>
      <c r="J302" s="140">
        <f>CHOOSE(IF($B$1=2,2,1),'GAAP-IFRS'!M79,IF('Broker Actual'!M79="-",'GAAP-IFRS'!M79,'Broker Actual'!M79))</f>
        <v>112.9</v>
      </c>
      <c r="K302" s="140">
        <f>CHOOSE(IF($B$1=2,2,1),'GAAP-IFRS'!N79,IF('Broker Actual'!N79="-",'GAAP-IFRS'!N79,'Broker Actual'!N79))</f>
        <v>-122</v>
      </c>
      <c r="L302" s="140">
        <f>CHOOSE(IF($B$1=2,2,1),'GAAP-IFRS'!O79,IF('Broker Actual'!O79="-",'GAAP-IFRS'!O79,'Broker Actual'!O79))</f>
        <v>44.2</v>
      </c>
      <c r="M302" s="434"/>
      <c r="N302" s="434"/>
      <c r="O302" s="434"/>
      <c r="P302" s="434"/>
      <c r="Q302" s="434"/>
      <c r="R302" s="117"/>
      <c r="S302" s="117"/>
      <c r="T302" s="117"/>
      <c r="U302" s="118"/>
      <c r="AB302" s="117"/>
      <c r="AC302" s="120"/>
    </row>
    <row r="303" spans="1:29" outlineLevel="1" x14ac:dyDescent="0.15">
      <c r="A303" s="78" t="s">
        <v>163</v>
      </c>
      <c r="B303" s="140">
        <f>CHOOSE(IF($B$1=2,2,1),'GAAP-IFRS'!E80,IF('Broker Actual'!E80="-",'GAAP-IFRS'!E80,'Broker Actual'!E80))</f>
        <v>1245.8</v>
      </c>
      <c r="C303" s="140">
        <f>CHOOSE(IF($B$1=2,2,1),'GAAP-IFRS'!F80,IF('Broker Actual'!F80="-",'GAAP-IFRS'!F80,'Broker Actual'!F80))</f>
        <v>779.5</v>
      </c>
      <c r="D303" s="140">
        <f>CHOOSE(IF($B$1=2,2,1),'GAAP-IFRS'!G80,IF('Broker Actual'!G80="-",'GAAP-IFRS'!G80,'Broker Actual'!G80))</f>
        <v>949.7</v>
      </c>
      <c r="E303" s="140">
        <f>CHOOSE(IF($B$1=2,2,1),'GAAP-IFRS'!H80,IF('Broker Actual'!H80="-",'GAAP-IFRS'!H80,'Broker Actual'!H80))</f>
        <v>1017.7</v>
      </c>
      <c r="F303" s="140">
        <f>CHOOSE(IF($B$1=2,2,1),'GAAP-IFRS'!I80,IF('Broker Actual'!I80="-",'GAAP-IFRS'!I80,'Broker Actual'!I80))</f>
        <v>848.5</v>
      </c>
      <c r="G303" s="140">
        <f>CHOOSE(IF($B$1=2,2,1),'GAAP-IFRS'!J80,IF('Broker Actual'!J80="-",'GAAP-IFRS'!J80,'Broker Actual'!J80))</f>
        <v>862.8</v>
      </c>
      <c r="H303" s="140">
        <f>CHOOSE(IF($B$1=2,2,1),'GAAP-IFRS'!K80,IF('Broker Actual'!K80="-",'GAAP-IFRS'!K80,'Broker Actual'!K80))</f>
        <v>1176.8</v>
      </c>
      <c r="I303" s="140">
        <f>CHOOSE(IF($B$1=2,2,1),'GAAP-IFRS'!L80,IF('Broker Actual'!L80="-",'GAAP-IFRS'!L80,'Broker Actual'!L80))</f>
        <v>1361.5</v>
      </c>
      <c r="J303" s="140">
        <f>CHOOSE(IF($B$1=2,2,1),'GAAP-IFRS'!M80,IF('Broker Actual'!M80="-",'GAAP-IFRS'!M80,'Broker Actual'!M80))</f>
        <v>246.5</v>
      </c>
      <c r="K303" s="140">
        <f>CHOOSE(IF($B$1=2,2,1),'GAAP-IFRS'!N80,IF('Broker Actual'!N80="-",'GAAP-IFRS'!N80,'Broker Actual'!N80))</f>
        <v>169.11019999999999</v>
      </c>
      <c r="L303" s="140">
        <f>CHOOSE(IF($B$1=2,2,1),'GAAP-IFRS'!O80,IF('Broker Actual'!O80="-",'GAAP-IFRS'!O80,'Broker Actual'!O80))</f>
        <v>178.64439999999999</v>
      </c>
      <c r="M303" s="139"/>
      <c r="N303" s="139"/>
      <c r="O303" s="139"/>
      <c r="P303" s="139"/>
      <c r="Q303" s="139"/>
      <c r="R303" s="117"/>
      <c r="S303" s="117"/>
      <c r="T303" s="117"/>
      <c r="U303" s="118"/>
      <c r="AB303" s="117"/>
      <c r="AC303" s="120"/>
    </row>
    <row r="304" spans="1:29" outlineLevel="1" x14ac:dyDescent="0.15">
      <c r="A304" s="78" t="s">
        <v>165</v>
      </c>
      <c r="B304" s="195">
        <f>CHOOSE(IF($B$1=2,2,1),'GAAP-IFRS'!E81,IF('Broker Actual'!E81="-",'GAAP-IFRS'!E81,'Broker Actual'!E81))</f>
        <v>4.4215436859021704</v>
      </c>
      <c r="C304" s="195">
        <f>CHOOSE(IF($B$1=2,2,1),'GAAP-IFRS'!F81,IF('Broker Actual'!F81="-",'GAAP-IFRS'!F81,'Broker Actual'!F81))</f>
        <v>2.9310108847855201</v>
      </c>
      <c r="D304" s="195">
        <f>CHOOSE(IF($B$1=2,2,1),'GAAP-IFRS'!G81,IF('Broker Actual'!G81="-",'GAAP-IFRS'!G81,'Broker Actual'!G81))</f>
        <v>3.7003297840506701</v>
      </c>
      <c r="E304" s="195">
        <f>CHOOSE(IF($B$1=2,2,1),'GAAP-IFRS'!H81,IF('Broker Actual'!H81="-",'GAAP-IFRS'!H81,'Broker Actual'!H81))</f>
        <v>4.1060347050106403</v>
      </c>
      <c r="F304" s="195">
        <f>CHOOSE(IF($B$1=2,2,1),'GAAP-IFRS'!I81,IF('Broker Actual'!I81="-",'GAAP-IFRS'!I81,'Broker Actual'!I81))</f>
        <v>3.59565588831558</v>
      </c>
      <c r="G304" s="195">
        <f>CHOOSE(IF($B$1=2,2,1),'GAAP-IFRS'!J81,IF('Broker Actual'!J81="-",'GAAP-IFRS'!J81,'Broker Actual'!J81))</f>
        <v>3.7952767543257702</v>
      </c>
      <c r="H304" s="195">
        <f>CHOOSE(IF($B$1=2,2,1),'GAAP-IFRS'!K81,IF('Broker Actual'!K81="-",'GAAP-IFRS'!K81,'Broker Actual'!K81))</f>
        <v>5.3476664851998503</v>
      </c>
      <c r="I304" s="195">
        <f>CHOOSE(IF($B$1=2,2,1),'GAAP-IFRS'!L81,IF('Broker Actual'!L81="-",'GAAP-IFRS'!L81,'Broker Actual'!L81))</f>
        <v>6.4878315632171599</v>
      </c>
      <c r="J304" s="195">
        <f>CHOOSE(IF($B$1=2,2,1),'GAAP-IFRS'!M81,IF('Broker Actual'!M81="-",'GAAP-IFRS'!M81,'Broker Actual'!M81))</f>
        <v>1.2097844816797401</v>
      </c>
      <c r="K304" s="195">
        <f>CHOOSE(IF($B$1=2,2,1),'GAAP-IFRS'!N81,IF('Broker Actual'!N81="-",'GAAP-IFRS'!N81,'Broker Actual'!N81))</f>
        <v>5.06619789609754</v>
      </c>
      <c r="L304" s="195">
        <f>CHOOSE(IF($B$1=2,2,1),'GAAP-IFRS'!O81,IF('Broker Actual'!O81="-",'GAAP-IFRS'!O81,'Broker Actual'!O81))</f>
        <v>5.2560642899340699</v>
      </c>
      <c r="P304" s="117"/>
      <c r="Q304" s="117"/>
      <c r="R304" s="117"/>
      <c r="S304" s="117"/>
      <c r="T304" s="117"/>
      <c r="U304" s="118"/>
      <c r="AB304" s="117"/>
      <c r="AC304" s="120"/>
    </row>
    <row r="305" spans="1:29" outlineLevel="1" x14ac:dyDescent="0.15">
      <c r="A305" s="78" t="s">
        <v>166</v>
      </c>
      <c r="B305" s="138">
        <f>B304/B49</f>
        <v>4.2048269071097346E-4</v>
      </c>
      <c r="C305" s="138">
        <f t="shared" ref="C305:K305" si="386">C304/C$49</f>
        <v>2.8308552268592403E-4</v>
      </c>
      <c r="D305" s="138">
        <f t="shared" si="386"/>
        <v>3.5208709897053864E-4</v>
      </c>
      <c r="E305" s="138">
        <f t="shared" si="386"/>
        <v>3.8262230158607442E-4</v>
      </c>
      <c r="F305" s="138">
        <f t="shared" si="386"/>
        <v>3.2550182304943466E-4</v>
      </c>
      <c r="G305" s="138">
        <f t="shared" si="386"/>
        <v>3.3625799644946045E-4</v>
      </c>
      <c r="H305" s="138">
        <f t="shared" si="386"/>
        <v>4.6106535200240122E-4</v>
      </c>
      <c r="I305" s="138">
        <f t="shared" si="386"/>
        <v>5.4070219463593834E-4</v>
      </c>
      <c r="J305" s="138">
        <f t="shared" si="386"/>
        <v>9.1914244815017367E-5</v>
      </c>
      <c r="K305" s="138">
        <f t="shared" si="386"/>
        <v>4.2169820507229522E-4</v>
      </c>
      <c r="L305" s="138">
        <f>L304/L$49</f>
        <v>4.3833410807556252E-4</v>
      </c>
      <c r="P305" s="117"/>
      <c r="Q305" s="117"/>
      <c r="R305" s="117"/>
      <c r="S305" s="117"/>
      <c r="T305" s="117"/>
      <c r="U305" s="118"/>
      <c r="AB305" s="117"/>
      <c r="AC305" s="120"/>
    </row>
    <row r="306" spans="1:29" outlineLevel="1" x14ac:dyDescent="0.15">
      <c r="B306" s="196"/>
      <c r="C306" s="196"/>
      <c r="D306" s="306"/>
      <c r="E306" s="306"/>
      <c r="F306" s="306"/>
      <c r="G306" s="306"/>
      <c r="H306" s="306"/>
      <c r="I306" s="306"/>
      <c r="J306" s="305"/>
      <c r="K306" s="305"/>
      <c r="L306" s="304"/>
      <c r="P306" s="117"/>
      <c r="Q306" s="117"/>
      <c r="R306" s="117"/>
      <c r="S306" s="117"/>
      <c r="T306" s="117"/>
      <c r="U306" s="194"/>
      <c r="AB306" s="117"/>
      <c r="AC306" s="120"/>
    </row>
    <row r="307" spans="1:29" outlineLevel="1" x14ac:dyDescent="0.15">
      <c r="B307" s="196"/>
      <c r="C307" s="196"/>
      <c r="D307" s="196"/>
      <c r="E307" s="196"/>
      <c r="F307" s="196"/>
      <c r="G307" s="196"/>
      <c r="H307" s="196"/>
      <c r="P307" s="117"/>
      <c r="Q307" s="117"/>
      <c r="R307" s="117"/>
      <c r="S307" s="117"/>
      <c r="T307" s="117"/>
      <c r="U307" s="118"/>
      <c r="AB307" s="117" cm="1">
        <f t="array" ref="AB307">_xll.FDSC("--",$A$1,"FF_DIV_COM_CF(LTM_R,0,,,,"&amp;$E$1&amp;")@FF_DIV_COM_CF(LTM_SEMI_R,0,,,,"&amp;$E$1&amp;")")</f>
        <v>271.5</v>
      </c>
      <c r="AC307" s="120"/>
    </row>
    <row r="308" spans="1:29" outlineLevel="1" x14ac:dyDescent="0.15">
      <c r="A308" s="277" t="s">
        <v>499</v>
      </c>
      <c r="B308" s="277"/>
      <c r="C308" s="196"/>
      <c r="D308" s="196"/>
      <c r="E308" s="196"/>
      <c r="F308" s="196"/>
      <c r="G308" s="196"/>
      <c r="H308" s="196"/>
      <c r="L308" s="139"/>
      <c r="P308" s="117"/>
      <c r="Q308" s="117"/>
      <c r="R308" s="117"/>
      <c r="S308" s="117"/>
      <c r="T308" s="117"/>
      <c r="U308" s="118"/>
      <c r="AB308" s="117"/>
      <c r="AC308" s="120"/>
    </row>
    <row r="309" spans="1:29" outlineLevel="1" x14ac:dyDescent="0.15">
      <c r="A309" s="277" t="s">
        <v>461</v>
      </c>
      <c r="B309" s="277"/>
      <c r="P309" s="117"/>
      <c r="Q309" s="117"/>
      <c r="R309" s="117"/>
      <c r="S309" s="117"/>
      <c r="T309" s="117"/>
      <c r="U309" s="118"/>
      <c r="AB309" s="117"/>
      <c r="AC309" s="120"/>
    </row>
    <row r="310" spans="1:29" outlineLevel="1" x14ac:dyDescent="0.15">
      <c r="A310" s="239"/>
      <c r="B310" s="278">
        <v>0.03</v>
      </c>
      <c r="C310" s="278">
        <v>4.9500000000000002E-2</v>
      </c>
      <c r="P310" s="117"/>
      <c r="Q310" s="117"/>
      <c r="R310" s="117"/>
      <c r="S310" s="117"/>
      <c r="T310" s="117"/>
      <c r="U310" s="118"/>
      <c r="AB310" s="117"/>
      <c r="AC310" s="120"/>
    </row>
    <row r="311" spans="1:29" outlineLevel="1" x14ac:dyDescent="0.15">
      <c r="A311" s="239" t="s">
        <v>341</v>
      </c>
      <c r="B311" s="279">
        <v>1</v>
      </c>
      <c r="C311" s="279">
        <v>0.75700000000000001</v>
      </c>
      <c r="P311" s="117"/>
      <c r="Q311" s="117"/>
      <c r="R311" s="117"/>
      <c r="S311" s="117"/>
      <c r="T311" s="117"/>
      <c r="U311" s="118"/>
      <c r="AB311" s="117"/>
      <c r="AC311" s="120"/>
    </row>
    <row r="312" spans="1:29" s="108" customFormat="1" outlineLevel="1" x14ac:dyDescent="0.15">
      <c r="A312" s="239" t="s">
        <v>490</v>
      </c>
      <c r="B312" s="278">
        <v>0.05</v>
      </c>
      <c r="C312" s="278">
        <v>0.05</v>
      </c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145"/>
      <c r="Q312" s="145"/>
      <c r="R312" s="145"/>
      <c r="S312" s="145"/>
      <c r="T312" s="145"/>
      <c r="U312" s="146"/>
      <c r="V312" s="77"/>
      <c r="W312" s="75"/>
      <c r="X312" s="75"/>
      <c r="Y312" s="75"/>
      <c r="Z312" s="75"/>
      <c r="AA312" s="78"/>
      <c r="AB312" s="145" cm="1">
        <f t="array" ref="AB312">_xll.FDSC("--",$A$1,"FF_FIN_CF(LTM_R,0,,,,"&amp;$E$1&amp;")@FF_FIN_CF(LTM_SEMI_R,0,,,,"&amp;$E$1&amp;")")</f>
        <v>-430.3</v>
      </c>
      <c r="AC312" s="158"/>
    </row>
    <row r="313" spans="1:29" outlineLevel="1" x14ac:dyDescent="0.15">
      <c r="A313" s="239" t="s">
        <v>491</v>
      </c>
      <c r="B313" s="278">
        <f>B310+(B311*B312)</f>
        <v>0.08</v>
      </c>
      <c r="C313" s="278">
        <f>C310+(C311*C312)</f>
        <v>8.7350000000000011E-2</v>
      </c>
      <c r="P313" s="117"/>
      <c r="Q313" s="117"/>
      <c r="R313" s="117"/>
      <c r="S313" s="117"/>
      <c r="T313" s="117"/>
      <c r="U313" s="118"/>
      <c r="AB313" s="117"/>
      <c r="AC313" s="120"/>
    </row>
    <row r="314" spans="1:29" outlineLevel="1" x14ac:dyDescent="0.15">
      <c r="A314" s="239" t="s">
        <v>492</v>
      </c>
      <c r="B314" s="278">
        <v>0.06</v>
      </c>
      <c r="C314" s="278">
        <v>6.7500000000000004E-2</v>
      </c>
      <c r="P314" s="117"/>
      <c r="Q314" s="117"/>
      <c r="R314" s="117"/>
      <c r="S314" s="117"/>
      <c r="T314" s="117"/>
      <c r="U314" s="194"/>
      <c r="AB314" s="117"/>
      <c r="AC314" s="120"/>
    </row>
    <row r="315" spans="1:29" outlineLevel="1" x14ac:dyDescent="0.15">
      <c r="A315" s="239" t="s">
        <v>493</v>
      </c>
      <c r="B315" s="278">
        <f>0.21</f>
        <v>0.21</v>
      </c>
      <c r="C315" s="278">
        <v>0.19869999999999999</v>
      </c>
      <c r="P315" s="117"/>
      <c r="Q315" s="117"/>
      <c r="R315" s="117"/>
      <c r="S315" s="117"/>
      <c r="T315" s="117"/>
      <c r="U315" s="118"/>
      <c r="AB315" s="117" t="str" cm="1">
        <f t="array" ref="AB315">_xll.FDSC("--",$A$1,"FF_FOR_EXCH_CF(LTM_R,0,,,,"&amp;$E$1&amp;")@FF_FOR_EXCH_CF(LTM_SEMI_R,0,,,,"&amp;$E$1&amp;")")</f>
        <v>--</v>
      </c>
      <c r="AC315" s="120"/>
    </row>
    <row r="316" spans="1:29" outlineLevel="1" x14ac:dyDescent="0.15">
      <c r="A316" s="239" t="s">
        <v>494</v>
      </c>
      <c r="B316" s="280">
        <f>B314*(1-B315)</f>
        <v>4.7399999999999998E-2</v>
      </c>
      <c r="C316" s="282">
        <f>C314*(1-C315)</f>
        <v>5.4087750000000004E-2</v>
      </c>
      <c r="P316" s="117"/>
      <c r="Q316" s="117"/>
      <c r="R316" s="117"/>
      <c r="S316" s="117"/>
      <c r="T316" s="117"/>
      <c r="U316" s="118"/>
      <c r="AB316" s="117" cm="1">
        <f t="array" ref="AB316">_xll.FDSC("--",$A$1,"FF_CHG_CASH_CF(LTM_R,0,,,,"&amp;$E$1&amp;")@FF_CHG_CASH_CF(LTM_SEMI_R,0,,,,"&amp;$E$1&amp;")")</f>
        <v>22.6</v>
      </c>
      <c r="AC316" s="120"/>
    </row>
    <row r="317" spans="1:29" outlineLevel="1" x14ac:dyDescent="0.15">
      <c r="A317" s="239" t="s">
        <v>495</v>
      </c>
      <c r="B317" s="281" t="e">
        <f>(#REF!*#REF!)/((#REF!*#REF!)+N215)</f>
        <v>#REF!</v>
      </c>
      <c r="C317" s="281">
        <f>(M122*M119)/((M119*M122)+M197)</f>
        <v>0.71616172907122688</v>
      </c>
      <c r="P317" s="117"/>
      <c r="Q317" s="117"/>
      <c r="R317" s="117"/>
      <c r="S317" s="117"/>
      <c r="T317" s="117"/>
      <c r="U317" s="118"/>
      <c r="AB317" s="117" cm="1">
        <f t="array" ref="AB317">_xll.FDSC("--",$A$1,"FF_FREE_CF(LTM_R,0,,,,"&amp;$E$1&amp;")@FF_FREE_CF(LTM_SEMI_R,0,,,,"&amp;$E$1&amp;")")</f>
        <v>824.2</v>
      </c>
      <c r="AC317" s="120"/>
    </row>
    <row r="318" spans="1:29" outlineLevel="1" x14ac:dyDescent="0.15">
      <c r="A318" s="239" t="s">
        <v>496</v>
      </c>
      <c r="B318" s="281" t="e">
        <f>(N215)/((#REF!*#REF!)+N215)</f>
        <v>#REF!</v>
      </c>
      <c r="C318" s="281">
        <f>M197/((M119*M122)+M197)</f>
        <v>0.28383827092877306</v>
      </c>
    </row>
    <row r="319" spans="1:29" outlineLevel="1" x14ac:dyDescent="0.15">
      <c r="A319" s="239" t="s">
        <v>343</v>
      </c>
      <c r="B319" s="282" t="e">
        <f>(B317*B313) + (B318*B316)</f>
        <v>#REF!</v>
      </c>
      <c r="C319" s="282">
        <f>(C317*C313) + (C318*C316)</f>
        <v>7.7908900472799428E-2</v>
      </c>
    </row>
    <row r="320" spans="1:29" outlineLevel="1" x14ac:dyDescent="0.15">
      <c r="A320" s="239" t="s">
        <v>497</v>
      </c>
      <c r="B320" s="282">
        <v>0.03</v>
      </c>
      <c r="C320" s="282">
        <v>1.7500000000000002E-2</v>
      </c>
    </row>
    <row r="321" spans="1:21" outlineLevel="1" x14ac:dyDescent="0.15">
      <c r="A321" s="239" t="s">
        <v>498</v>
      </c>
      <c r="B321" s="283">
        <f ca="1">TODAY()</f>
        <v>45262</v>
      </c>
      <c r="C321" s="283">
        <f ca="1">TODAY()</f>
        <v>45262</v>
      </c>
    </row>
    <row r="322" spans="1:21" outlineLevel="1" x14ac:dyDescent="0.15"/>
    <row r="323" spans="1:21" outlineLevel="1" x14ac:dyDescent="0.15"/>
    <row r="324" spans="1:21" outlineLevel="1" x14ac:dyDescent="0.15"/>
    <row r="325" spans="1:21" outlineLevel="1" x14ac:dyDescent="0.15">
      <c r="A325" s="277" t="s">
        <v>594</v>
      </c>
    </row>
    <row r="326" spans="1:21" outlineLevel="1" x14ac:dyDescent="0.15">
      <c r="A326" s="239" t="s">
        <v>500</v>
      </c>
      <c r="C326" s="139">
        <f t="shared" ref="C326:Q326" si="387">C115</f>
        <v>858.1</v>
      </c>
      <c r="D326" s="139">
        <f t="shared" si="387"/>
        <v>413.4</v>
      </c>
      <c r="E326" s="139">
        <f t="shared" si="387"/>
        <v>867.1</v>
      </c>
      <c r="F326" s="139">
        <f t="shared" si="387"/>
        <v>931.4</v>
      </c>
      <c r="G326" s="139">
        <f t="shared" si="387"/>
        <v>994.2</v>
      </c>
      <c r="H326" s="139">
        <f t="shared" si="387"/>
        <v>523.4</v>
      </c>
      <c r="I326" s="139">
        <f t="shared" si="387"/>
        <v>1100.3</v>
      </c>
      <c r="J326" s="139">
        <f t="shared" si="387"/>
        <v>1005.4</v>
      </c>
      <c r="K326" s="139">
        <f t="shared" si="387"/>
        <v>890.7</v>
      </c>
      <c r="L326" s="139">
        <f t="shared" si="387"/>
        <v>1254.3</v>
      </c>
      <c r="M326" s="139">
        <f t="shared" si="387"/>
        <v>1520.4016404642539</v>
      </c>
      <c r="N326" s="139">
        <f t="shared" si="387"/>
        <v>1595.6321222692222</v>
      </c>
      <c r="O326" s="139">
        <f t="shared" si="387"/>
        <v>1634.1840958010164</v>
      </c>
      <c r="P326" s="139">
        <f t="shared" si="387"/>
        <v>1501.0262613942195</v>
      </c>
      <c r="Q326" s="139">
        <f t="shared" si="387"/>
        <v>1434.8443207052128</v>
      </c>
    </row>
    <row r="327" spans="1:21" outlineLevel="1" x14ac:dyDescent="0.15">
      <c r="A327" s="239" t="s">
        <v>501</v>
      </c>
      <c r="C327" s="263"/>
      <c r="D327" s="78"/>
      <c r="E327" s="78"/>
      <c r="F327" s="78"/>
      <c r="G327" s="78"/>
      <c r="H327" s="78"/>
      <c r="I327" s="78"/>
      <c r="J327" s="78"/>
      <c r="K327" s="78"/>
      <c r="L327" s="78"/>
      <c r="M327" s="78"/>
    </row>
    <row r="328" spans="1:21" outlineLevel="1" x14ac:dyDescent="0.15">
      <c r="A328" s="128" t="s">
        <v>131</v>
      </c>
      <c r="C328" s="139">
        <f t="shared" ref="C328:K328" si="388">C257</f>
        <v>84.8</v>
      </c>
      <c r="D328" s="139">
        <f t="shared" si="388"/>
        <v>87.9</v>
      </c>
      <c r="E328" s="139">
        <f t="shared" si="388"/>
        <v>99.5</v>
      </c>
      <c r="F328" s="139">
        <f t="shared" si="388"/>
        <v>101.7</v>
      </c>
      <c r="G328" s="139">
        <f t="shared" si="388"/>
        <v>103.4</v>
      </c>
      <c r="H328" s="139">
        <f t="shared" si="388"/>
        <v>101.4</v>
      </c>
      <c r="I328" s="139">
        <f t="shared" si="388"/>
        <v>110.1</v>
      </c>
      <c r="J328" s="139">
        <f t="shared" si="388"/>
        <v>113.6</v>
      </c>
      <c r="K328" s="139">
        <f t="shared" si="388"/>
        <v>119.8</v>
      </c>
      <c r="L328" s="139">
        <f>L257</f>
        <v>110.5</v>
      </c>
      <c r="M328" s="139">
        <f t="shared" ref="M328:Q328" si="389">M257</f>
        <v>99.570712810046999</v>
      </c>
      <c r="N328" s="139">
        <f t="shared" si="389"/>
        <v>107.27277621197203</v>
      </c>
      <c r="O328" s="139">
        <f t="shared" si="389"/>
        <v>110.0835470494427</v>
      </c>
      <c r="P328" s="139">
        <f t="shared" si="389"/>
        <v>111.54939713248741</v>
      </c>
      <c r="Q328" s="139">
        <f t="shared" si="389"/>
        <v>112.30598766083537</v>
      </c>
    </row>
    <row r="329" spans="1:21" ht="15" outlineLevel="1" x14ac:dyDescent="0.15">
      <c r="A329" s="487" t="s">
        <v>527</v>
      </c>
      <c r="C329" s="139"/>
      <c r="D329" s="139"/>
      <c r="E329" s="139"/>
      <c r="F329" s="139"/>
      <c r="G329" s="139"/>
      <c r="H329" s="139"/>
      <c r="I329" s="139"/>
      <c r="J329" s="139"/>
      <c r="K329" s="139"/>
      <c r="L329" s="139"/>
      <c r="M329" s="139"/>
    </row>
    <row r="330" spans="1:21" outlineLevel="1" x14ac:dyDescent="0.15">
      <c r="A330" s="239" t="s">
        <v>503</v>
      </c>
      <c r="C330" s="139">
        <f t="shared" ref="C330:Q330" si="390">C101*(1-C111)</f>
        <v>103.36104929749044</v>
      </c>
      <c r="D330" s="139">
        <f t="shared" si="390"/>
        <v>114.74018241266563</v>
      </c>
      <c r="E330" s="139">
        <f t="shared" si="390"/>
        <v>111.82426584234929</v>
      </c>
      <c r="F330" s="139">
        <f t="shared" si="390"/>
        <v>109.98538587848931</v>
      </c>
      <c r="G330" s="139">
        <f t="shared" si="390"/>
        <v>105.91498021481063</v>
      </c>
      <c r="H330" s="139">
        <f t="shared" si="390"/>
        <v>132.66111194365354</v>
      </c>
      <c r="I330" s="139">
        <f t="shared" si="390"/>
        <v>137.82814402687382</v>
      </c>
      <c r="J330" s="139">
        <f t="shared" si="390"/>
        <v>151.28811032863848</v>
      </c>
      <c r="K330" s="139">
        <f t="shared" si="390"/>
        <v>157.34056175134242</v>
      </c>
      <c r="L330" s="139">
        <f t="shared" si="390"/>
        <v>166.27822993384098</v>
      </c>
      <c r="M330" s="139">
        <f t="shared" si="390"/>
        <v>162.30183497690675</v>
      </c>
      <c r="N330" s="139">
        <f t="shared" si="390"/>
        <v>162.30183497690675</v>
      </c>
      <c r="O330" s="139">
        <f t="shared" si="390"/>
        <v>216</v>
      </c>
      <c r="P330" s="139">
        <f t="shared" si="390"/>
        <v>216</v>
      </c>
      <c r="Q330" s="139">
        <f t="shared" si="390"/>
        <v>216</v>
      </c>
    </row>
    <row r="331" spans="1:21" outlineLevel="1" x14ac:dyDescent="0.15">
      <c r="A331" s="239" t="s">
        <v>504</v>
      </c>
      <c r="C331" s="139">
        <f>C272</f>
        <v>-105.5</v>
      </c>
      <c r="D331" s="139">
        <f t="shared" ref="D331:P331" si="391">D272</f>
        <v>-114.5</v>
      </c>
      <c r="E331" s="139">
        <f t="shared" si="391"/>
        <v>-100.2</v>
      </c>
      <c r="F331" s="139">
        <f t="shared" si="391"/>
        <v>-85</v>
      </c>
      <c r="G331" s="139">
        <f t="shared" si="391"/>
        <v>-105.3</v>
      </c>
      <c r="H331" s="139">
        <f t="shared" si="391"/>
        <v>-144.1</v>
      </c>
      <c r="I331" s="139">
        <f t="shared" si="391"/>
        <v>-150.9</v>
      </c>
      <c r="J331" s="139">
        <f t="shared" si="391"/>
        <v>-119.1</v>
      </c>
      <c r="K331" s="139">
        <f t="shared" si="391"/>
        <v>-110.3</v>
      </c>
      <c r="L331" s="139">
        <f t="shared" si="391"/>
        <v>-102.2</v>
      </c>
      <c r="M331" s="139">
        <f>M272</f>
        <v>-124.46339101255876</v>
      </c>
      <c r="N331" s="139">
        <f t="shared" si="391"/>
        <v>-201.13645539744755</v>
      </c>
      <c r="O331" s="139">
        <f t="shared" si="391"/>
        <v>-206.40665071770505</v>
      </c>
      <c r="P331" s="139">
        <f t="shared" si="391"/>
        <v>-278.87349283121853</v>
      </c>
      <c r="Q331" s="139">
        <f>Q272</f>
        <v>-280.76496915208844</v>
      </c>
    </row>
    <row r="332" spans="1:21" outlineLevel="1" x14ac:dyDescent="0.15">
      <c r="A332" s="239" t="s">
        <v>505</v>
      </c>
      <c r="C332" s="139"/>
      <c r="D332" s="139">
        <f t="shared" ref="D332:M332" si="392">(D172-D210)-(C172-C210)</f>
        <v>133.39999999999918</v>
      </c>
      <c r="E332" s="139">
        <f t="shared" si="392"/>
        <v>-1022.2999999999997</v>
      </c>
      <c r="F332" s="139">
        <f t="shared" si="392"/>
        <v>367.09999999999945</v>
      </c>
      <c r="G332" s="139">
        <f t="shared" si="392"/>
        <v>359.19999999999982</v>
      </c>
      <c r="H332" s="139">
        <f t="shared" si="392"/>
        <v>-335.19999999999891</v>
      </c>
      <c r="I332" s="139">
        <f t="shared" si="392"/>
        <v>-764.39999999999964</v>
      </c>
      <c r="J332" s="139">
        <f t="shared" si="392"/>
        <v>229.89999999999964</v>
      </c>
      <c r="K332" s="139">
        <f t="shared" si="392"/>
        <v>-719.60000000000036</v>
      </c>
      <c r="L332" s="139">
        <f t="shared" si="392"/>
        <v>-3257.1000000000004</v>
      </c>
      <c r="M332" s="139">
        <f t="shared" si="392"/>
        <v>2039.7294448399407</v>
      </c>
      <c r="N332" s="139">
        <f t="shared" ref="N332:Q332" si="393">(N172-N210)-(M172-M210)</f>
        <v>-224.18102043288491</v>
      </c>
      <c r="O332" s="139">
        <f t="shared" si="393"/>
        <v>396.02941553256369</v>
      </c>
      <c r="P332" s="139">
        <f t="shared" si="393"/>
        <v>295.25421344226561</v>
      </c>
      <c r="Q332" s="139">
        <f t="shared" si="393"/>
        <v>360.98760397558635</v>
      </c>
    </row>
    <row r="333" spans="1:21" s="139" customFormat="1" outlineLevel="1" x14ac:dyDescent="0.15">
      <c r="A333" s="221" t="s">
        <v>506</v>
      </c>
      <c r="C333" s="139">
        <f>SUM(C326:C332)</f>
        <v>940.76104929749044</v>
      </c>
      <c r="D333" s="139">
        <f t="shared" ref="D333:P333" si="394">SUM(D326:D332)</f>
        <v>634.94018241266474</v>
      </c>
      <c r="E333" s="139">
        <f t="shared" si="394"/>
        <v>-44.075734157650459</v>
      </c>
      <c r="F333" s="139">
        <f t="shared" si="394"/>
        <v>1425.1853858784887</v>
      </c>
      <c r="G333" s="139">
        <f t="shared" si="394"/>
        <v>1457.4149802148106</v>
      </c>
      <c r="H333" s="139">
        <f t="shared" si="394"/>
        <v>278.16111194365453</v>
      </c>
      <c r="I333" s="139">
        <f t="shared" si="394"/>
        <v>432.92814402687395</v>
      </c>
      <c r="J333" s="139">
        <f t="shared" si="394"/>
        <v>1381.0881103286383</v>
      </c>
      <c r="K333" s="139">
        <f t="shared" si="394"/>
        <v>337.9405617513421</v>
      </c>
      <c r="L333" s="139">
        <f t="shared" si="394"/>
        <v>-1828.2217700661595</v>
      </c>
      <c r="M333" s="139">
        <f>SUM(M326:M332)</f>
        <v>3697.5402420785895</v>
      </c>
      <c r="N333" s="139">
        <f t="shared" si="394"/>
        <v>1439.8892576277685</v>
      </c>
      <c r="O333" s="139">
        <f t="shared" si="394"/>
        <v>2149.890407665318</v>
      </c>
      <c r="P333" s="139">
        <f t="shared" si="394"/>
        <v>1844.9563791377541</v>
      </c>
      <c r="Q333" s="139">
        <f>SUM(Q326:Q332)</f>
        <v>1843.372943189546</v>
      </c>
      <c r="U333" s="748"/>
    </row>
    <row r="334" spans="1:21" x14ac:dyDescent="0.15">
      <c r="A334" s="239" t="s">
        <v>508</v>
      </c>
      <c r="M334" s="488">
        <f ca="1">(M7-$C$321)/365</f>
        <v>7.9452054794520555E-2</v>
      </c>
      <c r="N334" s="488">
        <f ca="1">(N7-$C$321)/365</f>
        <v>1.0821917808219179</v>
      </c>
      <c r="O334" s="488">
        <f ca="1">(O7-$C$321)/365</f>
        <v>2.0821917808219177</v>
      </c>
      <c r="P334" s="488">
        <f ca="1">(P7-$C$321)/365</f>
        <v>3.0821917808219177</v>
      </c>
      <c r="Q334" s="488">
        <f ca="1">(Q7-$C$321)/365</f>
        <v>4.0821917808219181</v>
      </c>
    </row>
    <row r="335" spans="1:21" x14ac:dyDescent="0.15">
      <c r="A335" s="239" t="s">
        <v>509</v>
      </c>
      <c r="M335" s="287">
        <f ca="1">1/(1+$C$319)^M334</f>
        <v>0.99405700148772569</v>
      </c>
      <c r="N335" s="287">
        <f t="shared" ref="N335:Q335" ca="1" si="395">1/(1+$C$319)^N334</f>
        <v>0.92201919960737155</v>
      </c>
      <c r="O335" s="287">
        <f t="shared" ca="1" si="395"/>
        <v>0.85537766614873434</v>
      </c>
      <c r="P335" s="287">
        <f t="shared" ca="1" si="395"/>
        <v>0.79355283714008018</v>
      </c>
      <c r="Q335" s="287">
        <f t="shared" ca="1" si="395"/>
        <v>0.73619657170657626</v>
      </c>
    </row>
    <row r="336" spans="1:21" x14ac:dyDescent="0.15">
      <c r="A336" s="239" t="s">
        <v>510</v>
      </c>
      <c r="M336" s="227">
        <f ca="1">M335*M334*M333</f>
        <v>292.03125263480661</v>
      </c>
      <c r="N336" s="227">
        <f ca="1">N335*N333</f>
        <v>1327.6055408412076</v>
      </c>
      <c r="O336" s="227">
        <f t="shared" ref="O336:P336" ca="1" si="396">O335*O333</f>
        <v>1838.9682393843107</v>
      </c>
      <c r="P336" s="227">
        <f t="shared" ca="1" si="396"/>
        <v>1464.0703690644541</v>
      </c>
      <c r="Q336" s="227">
        <f ca="1">Q335*Q333</f>
        <v>1357.0848411528052</v>
      </c>
    </row>
    <row r="337" spans="1:17" x14ac:dyDescent="0.15">
      <c r="A337" s="239" t="s">
        <v>511</v>
      </c>
      <c r="C337" s="139">
        <f ca="1">SUM(M336:Q336)</f>
        <v>6279.7602430775842</v>
      </c>
      <c r="D337" s="227"/>
    </row>
    <row r="338" spans="1:17" x14ac:dyDescent="0.15">
      <c r="A338" s="239" t="s">
        <v>512</v>
      </c>
      <c r="C338" s="139"/>
      <c r="Q338" s="139">
        <f>(Q333*(1+C320))/(C319-C320)</f>
        <v>31048.934097714824</v>
      </c>
    </row>
    <row r="339" spans="1:17" x14ac:dyDescent="0.15">
      <c r="A339" s="239" t="s">
        <v>513</v>
      </c>
      <c r="C339" s="139">
        <f ca="1">Q338*Q335</f>
        <v>22858.118837881073</v>
      </c>
    </row>
    <row r="340" spans="1:17" x14ac:dyDescent="0.15">
      <c r="A340" s="239" t="s">
        <v>514</v>
      </c>
      <c r="C340" s="139">
        <f ca="1">C339+C337</f>
        <v>29137.879080958657</v>
      </c>
    </row>
    <row r="341" spans="1:17" x14ac:dyDescent="0.15">
      <c r="A341" s="239" t="s">
        <v>515</v>
      </c>
      <c r="C341" s="139">
        <f>L197+L196-L153</f>
        <v>3378.5</v>
      </c>
    </row>
    <row r="342" spans="1:17" x14ac:dyDescent="0.15">
      <c r="A342" s="239" t="s">
        <v>516</v>
      </c>
      <c r="C342" s="139">
        <f ca="1">C340-C341</f>
        <v>25759.379080958657</v>
      </c>
    </row>
    <row r="343" spans="1:17" x14ac:dyDescent="0.15">
      <c r="A343" s="239" t="s">
        <v>517</v>
      </c>
      <c r="C343" s="227">
        <f ca="1">C342/L122</f>
        <v>127.45265228118365</v>
      </c>
    </row>
    <row r="344" spans="1:17" x14ac:dyDescent="0.15">
      <c r="A344" s="239"/>
    </row>
    <row r="345" spans="1:17" x14ac:dyDescent="0.15">
      <c r="A345" s="239"/>
    </row>
    <row r="346" spans="1:17" x14ac:dyDescent="0.15">
      <c r="A346" s="277" t="s">
        <v>518</v>
      </c>
    </row>
    <row r="347" spans="1:17" x14ac:dyDescent="0.15">
      <c r="A347" s="239" t="s">
        <v>519</v>
      </c>
      <c r="C347" s="139">
        <f t="shared" ref="C347:Q347" si="397">C115</f>
        <v>858.1</v>
      </c>
      <c r="D347" s="139">
        <f t="shared" si="397"/>
        <v>413.4</v>
      </c>
      <c r="E347" s="139">
        <f t="shared" si="397"/>
        <v>867.1</v>
      </c>
      <c r="F347" s="139">
        <f t="shared" si="397"/>
        <v>931.4</v>
      </c>
      <c r="G347" s="139">
        <f t="shared" si="397"/>
        <v>994.2</v>
      </c>
      <c r="H347" s="139">
        <f t="shared" si="397"/>
        <v>523.4</v>
      </c>
      <c r="I347" s="139">
        <f t="shared" si="397"/>
        <v>1100.3</v>
      </c>
      <c r="J347" s="139">
        <f t="shared" si="397"/>
        <v>1005.4</v>
      </c>
      <c r="K347" s="139">
        <f t="shared" si="397"/>
        <v>890.7</v>
      </c>
      <c r="L347" s="139">
        <f t="shared" si="397"/>
        <v>1254.3</v>
      </c>
      <c r="M347" s="139">
        <f t="shared" si="397"/>
        <v>1520.4016404642539</v>
      </c>
      <c r="N347" s="139">
        <f t="shared" si="397"/>
        <v>1595.6321222692222</v>
      </c>
      <c r="O347" s="139">
        <f t="shared" si="397"/>
        <v>1634.1840958010164</v>
      </c>
      <c r="P347" s="139">
        <f t="shared" si="397"/>
        <v>1501.0262613942195</v>
      </c>
      <c r="Q347" s="139">
        <f t="shared" si="397"/>
        <v>1434.8443207052128</v>
      </c>
    </row>
    <row r="348" spans="1:17" x14ac:dyDescent="0.15">
      <c r="A348" s="239" t="s">
        <v>504</v>
      </c>
      <c r="C348" s="139">
        <f>C331</f>
        <v>-105.5</v>
      </c>
      <c r="D348" s="139">
        <f t="shared" ref="D348:Q348" si="398">D331</f>
        <v>-114.5</v>
      </c>
      <c r="E348" s="139">
        <f t="shared" si="398"/>
        <v>-100.2</v>
      </c>
      <c r="F348" s="139">
        <f t="shared" si="398"/>
        <v>-85</v>
      </c>
      <c r="G348" s="139">
        <f t="shared" si="398"/>
        <v>-105.3</v>
      </c>
      <c r="H348" s="139">
        <f t="shared" si="398"/>
        <v>-144.1</v>
      </c>
      <c r="I348" s="139">
        <f t="shared" si="398"/>
        <v>-150.9</v>
      </c>
      <c r="J348" s="139">
        <f t="shared" si="398"/>
        <v>-119.1</v>
      </c>
      <c r="K348" s="139">
        <f t="shared" si="398"/>
        <v>-110.3</v>
      </c>
      <c r="L348" s="139">
        <f t="shared" si="398"/>
        <v>-102.2</v>
      </c>
      <c r="M348" s="139">
        <f t="shared" si="398"/>
        <v>-124.46339101255876</v>
      </c>
      <c r="N348" s="139">
        <f t="shared" si="398"/>
        <v>-201.13645539744755</v>
      </c>
      <c r="O348" s="139">
        <f t="shared" si="398"/>
        <v>-206.40665071770505</v>
      </c>
      <c r="P348" s="139">
        <f t="shared" si="398"/>
        <v>-278.87349283121853</v>
      </c>
      <c r="Q348" s="139">
        <f t="shared" si="398"/>
        <v>-280.76496915208844</v>
      </c>
    </row>
    <row r="349" spans="1:17" x14ac:dyDescent="0.15">
      <c r="A349" s="285" t="s">
        <v>502</v>
      </c>
      <c r="C349" s="139">
        <f>C328</f>
        <v>84.8</v>
      </c>
      <c r="D349" s="139">
        <f t="shared" ref="D349:Q349" si="399">D328</f>
        <v>87.9</v>
      </c>
      <c r="E349" s="139">
        <f t="shared" si="399"/>
        <v>99.5</v>
      </c>
      <c r="F349" s="139">
        <f t="shared" si="399"/>
        <v>101.7</v>
      </c>
      <c r="G349" s="139">
        <f t="shared" si="399"/>
        <v>103.4</v>
      </c>
      <c r="H349" s="139">
        <f t="shared" si="399"/>
        <v>101.4</v>
      </c>
      <c r="I349" s="139">
        <f t="shared" si="399"/>
        <v>110.1</v>
      </c>
      <c r="J349" s="139">
        <f t="shared" si="399"/>
        <v>113.6</v>
      </c>
      <c r="K349" s="139">
        <f t="shared" si="399"/>
        <v>119.8</v>
      </c>
      <c r="L349" s="139">
        <f t="shared" si="399"/>
        <v>110.5</v>
      </c>
      <c r="M349" s="139">
        <f t="shared" si="399"/>
        <v>99.570712810046999</v>
      </c>
      <c r="N349" s="139">
        <f t="shared" si="399"/>
        <v>107.27277621197203</v>
      </c>
      <c r="O349" s="139">
        <f t="shared" si="399"/>
        <v>110.0835470494427</v>
      </c>
      <c r="P349" s="139">
        <f t="shared" si="399"/>
        <v>111.54939713248741</v>
      </c>
      <c r="Q349" s="139">
        <f t="shared" si="399"/>
        <v>112.30598766083537</v>
      </c>
    </row>
    <row r="350" spans="1:17" x14ac:dyDescent="0.15">
      <c r="A350" s="239" t="s">
        <v>505</v>
      </c>
      <c r="C350" s="139">
        <f>C332</f>
        <v>0</v>
      </c>
      <c r="D350" s="139">
        <f t="shared" ref="D350:Q350" si="400">D332</f>
        <v>133.39999999999918</v>
      </c>
      <c r="E350" s="139">
        <f t="shared" si="400"/>
        <v>-1022.2999999999997</v>
      </c>
      <c r="F350" s="139">
        <f t="shared" si="400"/>
        <v>367.09999999999945</v>
      </c>
      <c r="G350" s="139">
        <f t="shared" si="400"/>
        <v>359.19999999999982</v>
      </c>
      <c r="H350" s="139">
        <f t="shared" si="400"/>
        <v>-335.19999999999891</v>
      </c>
      <c r="I350" s="139">
        <f t="shared" si="400"/>
        <v>-764.39999999999964</v>
      </c>
      <c r="J350" s="139">
        <f t="shared" si="400"/>
        <v>229.89999999999964</v>
      </c>
      <c r="K350" s="139">
        <f t="shared" si="400"/>
        <v>-719.60000000000036</v>
      </c>
      <c r="L350" s="139">
        <f t="shared" si="400"/>
        <v>-3257.1000000000004</v>
      </c>
      <c r="M350" s="139">
        <f t="shared" si="400"/>
        <v>2039.7294448399407</v>
      </c>
      <c r="N350" s="139">
        <f t="shared" si="400"/>
        <v>-224.18102043288491</v>
      </c>
      <c r="O350" s="139">
        <f t="shared" si="400"/>
        <v>396.02941553256369</v>
      </c>
      <c r="P350" s="139">
        <f t="shared" si="400"/>
        <v>295.25421344226561</v>
      </c>
      <c r="Q350" s="139">
        <f t="shared" si="400"/>
        <v>360.98760397558635</v>
      </c>
    </row>
    <row r="351" spans="1:17" x14ac:dyDescent="0.15">
      <c r="A351" s="239" t="s">
        <v>520</v>
      </c>
      <c r="D351" s="139">
        <f>(D197+D196-D153)-(C197+C196-C153)</f>
        <v>83.699999999999818</v>
      </c>
      <c r="E351" s="139">
        <f t="shared" ref="E351:Q351" si="401">(E197+E196-E153)-(D197+D196-D153)</f>
        <v>10.400000000000091</v>
      </c>
      <c r="F351" s="139">
        <f t="shared" si="401"/>
        <v>210.5</v>
      </c>
      <c r="G351" s="139">
        <f t="shared" si="401"/>
        <v>-38.099999999999909</v>
      </c>
      <c r="H351" s="139">
        <f t="shared" si="401"/>
        <v>16.400000000000091</v>
      </c>
      <c r="I351" s="139">
        <f t="shared" si="401"/>
        <v>479.90000000000009</v>
      </c>
      <c r="J351" s="139">
        <f t="shared" si="401"/>
        <v>-102.60000000000036</v>
      </c>
      <c r="K351" s="139">
        <f t="shared" si="401"/>
        <v>195.19999999999982</v>
      </c>
      <c r="L351" s="139">
        <f t="shared" si="401"/>
        <v>-71.299999999999727</v>
      </c>
      <c r="M351" s="139">
        <f t="shared" si="401"/>
        <v>-144.28359641655697</v>
      </c>
      <c r="N351" s="139">
        <f t="shared" si="401"/>
        <v>-264.20565727910753</v>
      </c>
      <c r="O351" s="139">
        <f t="shared" si="401"/>
        <v>-277.84785312592476</v>
      </c>
      <c r="P351" s="139">
        <f t="shared" si="401"/>
        <v>-161.0284713598262</v>
      </c>
      <c r="Q351" s="139">
        <f t="shared" si="401"/>
        <v>-58.208475915604595</v>
      </c>
    </row>
    <row r="352" spans="1:17" x14ac:dyDescent="0.15">
      <c r="A352" s="239" t="s">
        <v>521</v>
      </c>
      <c r="C352" s="139">
        <f>SUM(C347:C351)</f>
        <v>837.4</v>
      </c>
      <c r="D352" s="139">
        <f>SUM(D347:D351)</f>
        <v>603.89999999999895</v>
      </c>
      <c r="E352" s="139">
        <f t="shared" ref="E352:Q352" si="402">SUM(E347:E351)</f>
        <v>-145.49999999999966</v>
      </c>
      <c r="F352" s="139">
        <f t="shared" si="402"/>
        <v>1525.6999999999994</v>
      </c>
      <c r="G352" s="139">
        <f t="shared" si="402"/>
        <v>1313.4</v>
      </c>
      <c r="H352" s="139">
        <f t="shared" si="402"/>
        <v>161.90000000000111</v>
      </c>
      <c r="I352" s="139">
        <f t="shared" si="402"/>
        <v>775.00000000000045</v>
      </c>
      <c r="J352" s="139">
        <f t="shared" si="402"/>
        <v>1127.1999999999994</v>
      </c>
      <c r="K352" s="139">
        <f t="shared" si="402"/>
        <v>375.7999999999995</v>
      </c>
      <c r="L352" s="139">
        <f t="shared" si="402"/>
        <v>-2065.8000000000002</v>
      </c>
      <c r="M352" s="139">
        <f t="shared" si="402"/>
        <v>3390.9548106851262</v>
      </c>
      <c r="N352" s="139">
        <f t="shared" si="402"/>
        <v>1013.3817653717542</v>
      </c>
      <c r="O352" s="139">
        <f t="shared" si="402"/>
        <v>1656.0425545393928</v>
      </c>
      <c r="P352" s="139">
        <f t="shared" si="402"/>
        <v>1467.9279077779279</v>
      </c>
      <c r="Q352" s="139">
        <f t="shared" si="402"/>
        <v>1569.1644672739415</v>
      </c>
    </row>
    <row r="353" spans="1:17" x14ac:dyDescent="0.15">
      <c r="A353" s="284" t="s">
        <v>507</v>
      </c>
      <c r="D353" s="300">
        <f>(D352-C352)/C352</f>
        <v>-0.27883926438977913</v>
      </c>
      <c r="E353" s="300">
        <f t="shared" ref="E353:Q353" si="403">(E352-D352)/D352</f>
        <v>-1.2409339294585195</v>
      </c>
      <c r="F353" s="300">
        <f t="shared" si="403"/>
        <v>-11.485910652920982</v>
      </c>
      <c r="G353" s="300">
        <f t="shared" si="403"/>
        <v>-0.13914924297043937</v>
      </c>
      <c r="H353" s="300">
        <f t="shared" si="403"/>
        <v>-0.87673214557636592</v>
      </c>
      <c r="I353" s="300">
        <f t="shared" si="403"/>
        <v>3.7869054972204763</v>
      </c>
      <c r="J353" s="300">
        <f t="shared" si="403"/>
        <v>0.45445161290322411</v>
      </c>
      <c r="K353" s="300">
        <f t="shared" si="403"/>
        <v>-0.66660752306600446</v>
      </c>
      <c r="L353" s="300">
        <f t="shared" si="403"/>
        <v>-6.4970729111229453</v>
      </c>
      <c r="M353" s="300">
        <f t="shared" si="403"/>
        <v>-2.641472945437664</v>
      </c>
      <c r="N353" s="300">
        <f t="shared" si="403"/>
        <v>-0.7011514980445861</v>
      </c>
      <c r="O353" s="300">
        <f t="shared" si="403"/>
        <v>0.63417441592890866</v>
      </c>
      <c r="P353" s="300">
        <f t="shared" si="403"/>
        <v>-0.1135928821670809</v>
      </c>
      <c r="Q353" s="300">
        <f t="shared" si="403"/>
        <v>6.896562083165253E-2</v>
      </c>
    </row>
    <row r="354" spans="1:17" x14ac:dyDescent="0.15">
      <c r="A354" s="239" t="s">
        <v>508</v>
      </c>
      <c r="M354" s="489">
        <f ca="1">M334</f>
        <v>7.9452054794520555E-2</v>
      </c>
      <c r="N354" s="489">
        <f t="shared" ref="N354:Q354" ca="1" si="404">N334</f>
        <v>1.0821917808219179</v>
      </c>
      <c r="O354" s="489">
        <f t="shared" ca="1" si="404"/>
        <v>2.0821917808219177</v>
      </c>
      <c r="P354" s="489">
        <f t="shared" ca="1" si="404"/>
        <v>3.0821917808219177</v>
      </c>
      <c r="Q354" s="489">
        <f t="shared" ca="1" si="404"/>
        <v>4.0821917808219181</v>
      </c>
    </row>
    <row r="355" spans="1:17" x14ac:dyDescent="0.15">
      <c r="A355" s="239" t="s">
        <v>509</v>
      </c>
      <c r="M355" s="287">
        <f ca="1">1/(1+$C$313)^M354</f>
        <v>0.99336848956106616</v>
      </c>
      <c r="N355" s="287">
        <f ca="1">1/(1+$C$313)^N354</f>
        <v>0.91335871875238872</v>
      </c>
      <c r="O355" s="287">
        <f t="shared" ref="O355:Q355" ca="1" si="405">1/(1+$C$313)^O354</f>
        <v>0.83998594633962265</v>
      </c>
      <c r="P355" s="287">
        <f t="shared" ca="1" si="405"/>
        <v>0.77250742294534658</v>
      </c>
      <c r="Q355" s="287">
        <f t="shared" ca="1" si="405"/>
        <v>0.71044964633774454</v>
      </c>
    </row>
    <row r="356" spans="1:17" x14ac:dyDescent="0.15">
      <c r="A356" s="239" t="s">
        <v>510</v>
      </c>
      <c r="M356" s="139">
        <f ca="1">M352*M354*M355</f>
        <v>267.63167697354339</v>
      </c>
      <c r="N356" s="139">
        <f ca="1">N355*N352</f>
        <v>925.58107082697927</v>
      </c>
      <c r="O356" s="139">
        <f t="shared" ref="O356:Q356" ca="1" si="406">O355*O352</f>
        <v>1391.0524723534579</v>
      </c>
      <c r="P356" s="139">
        <f t="shared" ca="1" si="406"/>
        <v>1133.9852051070814</v>
      </c>
      <c r="Q356" s="139">
        <f t="shared" ca="1" si="406"/>
        <v>1114.812340820527</v>
      </c>
    </row>
    <row r="357" spans="1:17" x14ac:dyDescent="0.15">
      <c r="A357" s="239" t="s">
        <v>511</v>
      </c>
      <c r="C357" s="139">
        <f ca="1">SUM(M356:Q356)</f>
        <v>4833.0627660815881</v>
      </c>
    </row>
    <row r="358" spans="1:17" x14ac:dyDescent="0.15">
      <c r="A358" s="239" t="s">
        <v>512</v>
      </c>
      <c r="Q358" s="139">
        <f>(Q352*(1+C320))/(C313-C320)</f>
        <v>22857.907594147964</v>
      </c>
    </row>
    <row r="359" spans="1:17" x14ac:dyDescent="0.15">
      <c r="A359" s="239" t="s">
        <v>513</v>
      </c>
      <c r="C359" s="139">
        <f ca="1">Q358*Q355</f>
        <v>16239.392366283266</v>
      </c>
    </row>
    <row r="360" spans="1:17" x14ac:dyDescent="0.15">
      <c r="A360" s="239" t="s">
        <v>516</v>
      </c>
      <c r="C360" s="139">
        <f ca="1">C359+C357</f>
        <v>21072.455132364856</v>
      </c>
    </row>
    <row r="361" spans="1:17" x14ac:dyDescent="0.15">
      <c r="A361" s="239" t="s">
        <v>517</v>
      </c>
      <c r="C361" s="227">
        <f ca="1">C360/L122</f>
        <v>104.26261783155488</v>
      </c>
    </row>
  </sheetData>
  <conditionalFormatting sqref="B184">
    <cfRule type="expression" dxfId="288" priority="1920">
      <formula>$B$1=2</formula>
    </cfRule>
  </conditionalFormatting>
  <conditionalFormatting sqref="B186">
    <cfRule type="expression" dxfId="286" priority="3493">
      <formula>$B$1=2</formula>
    </cfRule>
  </conditionalFormatting>
  <conditionalFormatting sqref="B187:B188">
    <cfRule type="expression" dxfId="285" priority="1887">
      <formula>$B$1=2</formula>
    </cfRule>
  </conditionalFormatting>
  <conditionalFormatting sqref="B189">
    <cfRule type="expression" dxfId="283" priority="3501">
      <formula>$B$1=2</formula>
    </cfRule>
  </conditionalFormatting>
  <conditionalFormatting sqref="B190">
    <cfRule type="expression" dxfId="281" priority="1854">
      <formula>$B$1=2</formula>
    </cfRule>
  </conditionalFormatting>
  <conditionalFormatting sqref="B191:B193">
    <cfRule type="expression" dxfId="279" priority="1821">
      <formula>$B$1=2</formula>
    </cfRule>
  </conditionalFormatting>
  <conditionalFormatting sqref="B194">
    <cfRule type="expression" dxfId="277" priority="1788">
      <formula>$B$1=2</formula>
    </cfRule>
  </conditionalFormatting>
  <conditionalFormatting sqref="B195">
    <cfRule type="expression" dxfId="275" priority="1755">
      <formula>$B$1=2</formula>
    </cfRule>
  </conditionalFormatting>
  <conditionalFormatting sqref="B200">
    <cfRule type="expression" dxfId="272" priority="1524">
      <formula>$B$1=2</formula>
    </cfRule>
  </conditionalFormatting>
  <conditionalFormatting sqref="B259">
    <cfRule type="expression" dxfId="270" priority="14">
      <formula>$B$1=2</formula>
    </cfRule>
    <cfRule type="expression" dxfId="268" priority="16">
      <formula>$B$1=1</formula>
    </cfRule>
    <cfRule type="expression" dxfId="266" priority="3474">
      <formula>$B$1=2</formula>
    </cfRule>
  </conditionalFormatting>
  <conditionalFormatting sqref="B272">
    <cfRule type="expression" dxfId="261" priority="389">
      <formula>$B$1=2</formula>
    </cfRule>
  </conditionalFormatting>
  <conditionalFormatting sqref="B92:L92 B172:L172 B173 B174:L174 B182:L183 B184 B186:B200 B219:L219 B220:B221 B222:L224 B274:L277 B278 B279:L279 B280 B281:L284">
    <cfRule type="expression" dxfId="258" priority="69">
      <formula>$B$1=1</formula>
    </cfRule>
  </conditionalFormatting>
  <conditionalFormatting sqref="B92:L92 B274:L277 B278 B279:L279 B280 B281:L283 B260:H260 B261 B263:B265">
    <cfRule type="expression" dxfId="257" priority="70">
      <formula>$B$1=2</formula>
    </cfRule>
  </conditionalFormatting>
  <conditionalFormatting sqref="B94:L94 B108:L108 B110:L110 B122:L122 B124:L124 B49:L49 B101:L101 B103:L104 B115:L115 I260:L260">
    <cfRule type="expression" dxfId="256" priority="208">
      <formula>$B$1=2</formula>
    </cfRule>
  </conditionalFormatting>
  <conditionalFormatting sqref="B167:L168">
    <cfRule type="expression" dxfId="250" priority="1246">
      <formula>$B$1=2</formula>
    </cfRule>
  </conditionalFormatting>
  <conditionalFormatting sqref="B172:L172 B173">
    <cfRule type="expression" dxfId="249" priority="1227">
      <formula>$B$1=2</formula>
    </cfRule>
  </conditionalFormatting>
  <conditionalFormatting sqref="B174:L174">
    <cfRule type="expression" dxfId="247" priority="3489">
      <formula>$B$1=2</formula>
    </cfRule>
  </conditionalFormatting>
  <conditionalFormatting sqref="B182:L183">
    <cfRule type="expression" dxfId="245" priority="1260">
      <formula>$B$1=2</formula>
    </cfRule>
  </conditionalFormatting>
  <conditionalFormatting sqref="B196:L197 B198">
    <cfRule type="expression" dxfId="242" priority="1941">
      <formula>$B$1=2</formula>
    </cfRule>
  </conditionalFormatting>
  <conditionalFormatting sqref="B196:L197">
    <cfRule type="expression" dxfId="241" priority="1940">
      <formula>$B$1=1</formula>
    </cfRule>
  </conditionalFormatting>
  <conditionalFormatting sqref="B199:L199">
    <cfRule type="expression" dxfId="240" priority="4025">
      <formula>$B$1=2</formula>
    </cfRule>
    <cfRule type="expression" dxfId="239" priority="4024">
      <formula>$B$1=1</formula>
    </cfRule>
  </conditionalFormatting>
  <conditionalFormatting sqref="B202:L202 B203">
    <cfRule type="expression" dxfId="236" priority="1961">
      <formula>$B$1=1</formula>
    </cfRule>
    <cfRule type="expression" dxfId="235" priority="1962">
      <formula>$B$1=2</formula>
    </cfRule>
  </conditionalFormatting>
  <conditionalFormatting sqref="B206:L206">
    <cfRule type="expression" dxfId="234" priority="913">
      <formula>$B$1=2</formula>
    </cfRule>
  </conditionalFormatting>
  <conditionalFormatting sqref="B212:L212 B214:L215 B216:B217">
    <cfRule type="expression" dxfId="232" priority="170">
      <formula>$B$1=1</formula>
    </cfRule>
    <cfRule type="expression" dxfId="231" priority="171">
      <formula>$B$1=2</formula>
    </cfRule>
  </conditionalFormatting>
  <conditionalFormatting sqref="B219:L219 B220:B221">
    <cfRule type="expression" dxfId="229" priority="3611">
      <formula>$B$1=2</formula>
    </cfRule>
  </conditionalFormatting>
  <conditionalFormatting sqref="B222:L222">
    <cfRule type="expression" dxfId="227" priority="4097">
      <formula>$B$1=2</formula>
    </cfRule>
  </conditionalFormatting>
  <conditionalFormatting sqref="B223:L224">
    <cfRule type="expression" dxfId="224" priority="3556">
      <formula>$B$1=2</formula>
    </cfRule>
  </conditionalFormatting>
  <conditionalFormatting sqref="B256:L257">
    <cfRule type="expression" dxfId="222" priority="138">
      <formula>$B$1=2</formula>
    </cfRule>
    <cfRule type="expression" dxfId="221" priority="137">
      <formula>$B$1=1</formula>
    </cfRule>
  </conditionalFormatting>
  <conditionalFormatting sqref="B260:L260 B261 B263:B265 B49:L49 B94:L94 B101:L101 B103:L104 B108:L108 B110:L110 B115:L115 B122:L122 B124:L124 B167:L168 B206:L206 B267:L267 B272">
    <cfRule type="expression" dxfId="220" priority="185">
      <formula>$B$1=1</formula>
    </cfRule>
  </conditionalFormatting>
  <conditionalFormatting sqref="B267:L267">
    <cfRule type="expression" dxfId="218" priority="3059">
      <formula>$B$1=2</formula>
    </cfRule>
  </conditionalFormatting>
  <conditionalFormatting sqref="B277:L277 B278">
    <cfRule type="expression" dxfId="214" priority="364">
      <formula>$B$1=2</formula>
    </cfRule>
  </conditionalFormatting>
  <conditionalFormatting sqref="B282:L282">
    <cfRule type="expression" dxfId="210" priority="456">
      <formula>$B$1=2</formula>
    </cfRule>
  </conditionalFormatting>
  <conditionalFormatting sqref="B282:L283">
    <cfRule type="expression" dxfId="207" priority="452">
      <formula>$B$1=2</formula>
    </cfRule>
  </conditionalFormatting>
  <conditionalFormatting sqref="B283:L283">
    <cfRule type="expression" dxfId="205" priority="1087">
      <formula>$B$1=2</formula>
    </cfRule>
    <cfRule type="expression" dxfId="203" priority="1085">
      <formula>$B$1=2</formula>
    </cfRule>
  </conditionalFormatting>
  <conditionalFormatting sqref="B284:L284">
    <cfRule type="expression" dxfId="202" priority="568">
      <formula>$B$1=2</formula>
    </cfRule>
  </conditionalFormatting>
  <conditionalFormatting sqref="B293:L293">
    <cfRule type="expression" dxfId="200" priority="946">
      <formula>$B$1=1</formula>
    </cfRule>
    <cfRule type="expression" dxfId="198" priority="947">
      <formula>$B$1=2</formula>
    </cfRule>
  </conditionalFormatting>
  <conditionalFormatting sqref="B295:L298 B301:L304">
    <cfRule type="expression" dxfId="196" priority="113">
      <formula>$B$1=1</formula>
    </cfRule>
    <cfRule type="expression" dxfId="195" priority="114">
      <formula>$B$1=2</formula>
    </cfRule>
  </conditionalFormatting>
  <conditionalFormatting sqref="I275:L277">
    <cfRule type="expression" dxfId="193" priority="339">
      <formula>$B$1=2</formula>
    </cfRule>
  </conditionalFormatting>
  <conditionalFormatting sqref="I279:L279">
    <cfRule type="expression" dxfId="192" priority="3898">
      <formula>$B$1=2</formula>
    </cfRule>
  </conditionalFormatting>
  <pageMargins left="0.7" right="0.7" top="0.75" bottom="0.75" header="0.3" footer="0.3"/>
  <pageSetup orientation="portrait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19" id="{90334099-FEFC-4873-88A7-B4FA5FF7EEB2}">
            <xm:f>AND($B$1=2,'Broker Actual'!E36="-")</xm:f>
            <x14:dxf>
              <font>
                <color rgb="FF00B050"/>
              </font>
            </x14:dxf>
          </x14:cfRule>
          <xm:sqref>B184</xm:sqref>
        </x14:conditionalFormatting>
        <x14:conditionalFormatting xmlns:xm="http://schemas.microsoft.com/office/excel/2006/main">
          <x14:cfRule type="expression" priority="3492" id="{90334099-FEFC-4873-88A7-B4FA5FF7EEB2}">
            <xm:f>AND($B$1=2,'Broker Actual'!E37="-")</xm:f>
            <x14:dxf>
              <font>
                <color rgb="FF00B050"/>
              </font>
            </x14:dxf>
          </x14:cfRule>
          <xm:sqref>B186</xm:sqref>
        </x14:conditionalFormatting>
        <x14:conditionalFormatting xmlns:xm="http://schemas.microsoft.com/office/excel/2006/main">
          <x14:cfRule type="expression" priority="1886" id="{90334099-FEFC-4873-88A7-B4FA5FF7EEB2}">
            <xm:f>AND($B$1=2,'Broker Actual'!E36="-")</xm:f>
            <x14:dxf>
              <font>
                <color rgb="FF00B050"/>
              </font>
            </x14:dxf>
          </x14:cfRule>
          <xm:sqref>B187:B188</xm:sqref>
        </x14:conditionalFormatting>
        <x14:conditionalFormatting xmlns:xm="http://schemas.microsoft.com/office/excel/2006/main">
          <x14:cfRule type="expression" priority="3500" id="{90334099-FEFC-4873-88A7-B4FA5FF7EEB2}">
            <xm:f>AND($B$1=2,'Broker Actual'!E37="-")</xm:f>
            <x14:dxf>
              <font>
                <color rgb="FF00B050"/>
              </font>
            </x14:dxf>
          </x14:cfRule>
          <xm:sqref>B189</xm:sqref>
        </x14:conditionalFormatting>
        <x14:conditionalFormatting xmlns:xm="http://schemas.microsoft.com/office/excel/2006/main">
          <x14:cfRule type="expression" priority="1853" id="{90334099-FEFC-4873-88A7-B4FA5FF7EEB2}">
            <xm:f>AND($B$1=2,'Broker Actual'!E36="-")</xm:f>
            <x14:dxf>
              <font>
                <color rgb="FF00B050"/>
              </font>
            </x14:dxf>
          </x14:cfRule>
          <xm:sqref>B190</xm:sqref>
        </x14:conditionalFormatting>
        <x14:conditionalFormatting xmlns:xm="http://schemas.microsoft.com/office/excel/2006/main">
          <x14:cfRule type="expression" priority="1820" id="{90334099-FEFC-4873-88A7-B4FA5FF7EEB2}">
            <xm:f>AND($B$1=2,'Broker Actual'!E36="-")</xm:f>
            <x14:dxf>
              <font>
                <color rgb="FF00B050"/>
              </font>
            </x14:dxf>
          </x14:cfRule>
          <xm:sqref>B191:B193</xm:sqref>
        </x14:conditionalFormatting>
        <x14:conditionalFormatting xmlns:xm="http://schemas.microsoft.com/office/excel/2006/main">
          <x14:cfRule type="expression" priority="1787" id="{90334099-FEFC-4873-88A7-B4FA5FF7EEB2}">
            <xm:f>AND($B$1=2,'Broker Actual'!E36="-")</xm:f>
            <x14:dxf>
              <font>
                <color rgb="FF00B050"/>
              </font>
            </x14:dxf>
          </x14:cfRule>
          <xm:sqref>B194</xm:sqref>
        </x14:conditionalFormatting>
        <x14:conditionalFormatting xmlns:xm="http://schemas.microsoft.com/office/excel/2006/main">
          <x14:cfRule type="expression" priority="1754" id="{90334099-FEFC-4873-88A7-B4FA5FF7EEB2}">
            <xm:f>AND($B$1=2,'Broker Actual'!E36="-")</xm:f>
            <x14:dxf>
              <font>
                <color rgb="FF00B050"/>
              </font>
            </x14:dxf>
          </x14:cfRule>
          <xm:sqref>B195</xm:sqref>
        </x14:conditionalFormatting>
        <x14:conditionalFormatting xmlns:xm="http://schemas.microsoft.com/office/excel/2006/main">
          <x14:cfRule type="expression" priority="1523" id="{90334099-FEFC-4873-88A7-B4FA5FF7EEB2}">
            <xm:f>AND($B$1=2,'Broker Actual'!E36="-")</xm:f>
            <x14:dxf>
              <font>
                <color rgb="FF00B050"/>
              </font>
            </x14:dxf>
          </x14:cfRule>
          <xm:sqref>B200</xm:sqref>
        </x14:conditionalFormatting>
        <x14:conditionalFormatting xmlns:xm="http://schemas.microsoft.com/office/excel/2006/main">
          <x14:cfRule type="expression" priority="3890" id="{3D7C9E23-B800-49B8-81EB-D98B492DA0E9}">
            <xm:f>AND($B$1=2,'Broker Actual'!E49="-")</xm:f>
            <x14:dxf>
              <font>
                <color rgb="FF00B050"/>
              </font>
            </x14:dxf>
          </x14:cfRule>
          <xm:sqref>B259 B264</xm:sqref>
        </x14:conditionalFormatting>
        <x14:conditionalFormatting xmlns:xm="http://schemas.microsoft.com/office/excel/2006/main">
          <x14:cfRule type="expression" priority="2192" id="{3D7C9E23-B800-49B8-81EB-D98B492DA0E9}">
            <xm:f>AND($B$1=2,'Broker Actual'!E55="-")</xm:f>
            <x14:dxf>
              <font>
                <color rgb="FF00B050"/>
              </font>
            </x14:dxf>
          </x14:cfRule>
          <x14:cfRule type="expression" priority="3473" id="{3D7C9E23-B800-49B8-81EB-D98B492DA0E9}">
            <xm:f>AND($B$1=2,'Broker Actual'!E52="-")</xm:f>
            <x14:dxf>
              <font>
                <color rgb="FF00B050"/>
              </font>
            </x14:dxf>
          </x14:cfRule>
          <x14:cfRule type="expression" priority="3805" id="{3D7C9E23-B800-49B8-81EB-D98B492DA0E9}">
            <xm:f>AND($B$1=2,'Broker Actual'!E54="-")</xm:f>
            <x14:dxf>
              <font>
                <color rgb="FF00B050"/>
              </font>
            </x14:dxf>
          </x14:cfRule>
          <xm:sqref>B259</xm:sqref>
        </x14:conditionalFormatting>
        <x14:conditionalFormatting xmlns:xm="http://schemas.microsoft.com/office/excel/2006/main">
          <x14:cfRule type="expression" priority="3416" id="{3D7C9E23-B800-49B8-81EB-D98B492DA0E9}">
            <xm:f>AND($B$1=2,'Broker Actual'!E54="-")</xm:f>
            <x14:dxf>
              <font>
                <color rgb="FF00B050"/>
              </font>
            </x14:dxf>
          </x14:cfRule>
          <xm:sqref>B263</xm:sqref>
        </x14:conditionalFormatting>
        <x14:conditionalFormatting xmlns:xm="http://schemas.microsoft.com/office/excel/2006/main">
          <x14:cfRule type="expression" priority="3467" id="{3D7C9E23-B800-49B8-81EB-D98B492DA0E9}">
            <xm:f>AND($B$1=2,'Broker Actual'!E54="-")</xm:f>
            <x14:dxf>
              <font>
                <color rgb="FF00B050"/>
              </font>
            </x14:dxf>
          </x14:cfRule>
          <xm:sqref>B265 B279:L279 B280</xm:sqref>
        </x14:conditionalFormatting>
        <x14:conditionalFormatting xmlns:xm="http://schemas.microsoft.com/office/excel/2006/main">
          <x14:cfRule type="expression" priority="388" id="{3D7C9E23-B800-49B8-81EB-D98B492DA0E9}">
            <xm:f>AND($B$1=2,'Broker Actual'!E59="-")</xm:f>
            <x14:dxf>
              <font>
                <color rgb="FF00B050"/>
              </font>
            </x14:dxf>
          </x14:cfRule>
          <xm:sqref>B272</xm:sqref>
        </x14:conditionalFormatting>
        <x14:conditionalFormatting xmlns:xm="http://schemas.microsoft.com/office/excel/2006/main">
          <x14:cfRule type="expression" priority="1166" id="{3D7C9E23-B800-49B8-81EB-D98B492DA0E9}">
            <xm:f>AND($B$1=2,'Broker Actual'!E53="-")</xm:f>
            <x14:dxf>
              <font>
                <color rgb="FF00B050"/>
              </font>
            </x14:dxf>
          </x14:cfRule>
          <xm:sqref>B275:H277 B278 B260:L260 B261 B279:L279 B280</xm:sqref>
        </x14:conditionalFormatting>
        <x14:conditionalFormatting xmlns:xm="http://schemas.microsoft.com/office/excel/2006/main">
          <x14:cfRule type="expression" priority="195" id="{6F7BF38A-4781-4F87-9F39-F2B8D5568A15}">
            <xm:f>AND($B$1=2,'Broker Actual'!E25="-")</xm:f>
            <x14:dxf>
              <font>
                <color rgb="FF00B050"/>
              </font>
            </x14:dxf>
          </x14:cfRule>
          <xm:sqref>B92:L92 B94:L94</xm:sqref>
        </x14:conditionalFormatting>
        <x14:conditionalFormatting xmlns:xm="http://schemas.microsoft.com/office/excel/2006/main">
          <x14:cfRule type="expression" priority="619" id="{3CE1C582-CAEA-418A-863E-E96DFF2F463D}">
            <xm:f>AND($B$1=2,'Broker Actual'!E17="-")</xm:f>
            <x14:dxf>
              <font>
                <color rgb="FF00B050"/>
              </font>
            </x14:dxf>
          </x14:cfRule>
          <xm:sqref>B103:L104</xm:sqref>
        </x14:conditionalFormatting>
        <x14:conditionalFormatting xmlns:xm="http://schemas.microsoft.com/office/excel/2006/main">
          <x14:cfRule type="expression" priority="193" id="{3CE1C582-CAEA-418A-863E-E96DFF2F463D}">
            <xm:f>AND($B$1=2,'Broker Actual'!E19="-")</xm:f>
            <x14:dxf>
              <font>
                <color rgb="FF00B050"/>
              </font>
            </x14:dxf>
          </x14:cfRule>
          <xm:sqref>B108:L108 B110:L110</xm:sqref>
        </x14:conditionalFormatting>
        <x14:conditionalFormatting xmlns:xm="http://schemas.microsoft.com/office/excel/2006/main">
          <x14:cfRule type="expression" priority="625" id="{3017355A-B7EE-433E-8A90-7B574D33C73B}">
            <xm:f>AND($B$1=2,'Broker Actual'!E22="-")</xm:f>
            <x14:dxf>
              <font>
                <color rgb="FF00B050"/>
              </font>
            </x14:dxf>
          </x14:cfRule>
          <xm:sqref>B115:L115</xm:sqref>
        </x14:conditionalFormatting>
        <x14:conditionalFormatting xmlns:xm="http://schemas.microsoft.com/office/excel/2006/main">
          <x14:cfRule type="expression" priority="189" id="{3017355A-B7EE-433E-8A90-7B574D33C73B}">
            <xm:f>AND($B$1=2,'Broker Actual'!E24="-")</xm:f>
            <x14:dxf>
              <font>
                <color rgb="FF00B050"/>
              </font>
            </x14:dxf>
          </x14:cfRule>
          <xm:sqref>B122:L122 B124:L124</xm:sqref>
        </x14:conditionalFormatting>
        <x14:conditionalFormatting xmlns:xm="http://schemas.microsoft.com/office/excel/2006/main">
          <x14:cfRule type="expression" priority="1245" id="{90334099-FEFC-4873-88A7-B4FA5FF7EEB2}">
            <xm:f>AND($B$1=2,'Broker Actual'!E33="-")</xm:f>
            <x14:dxf>
              <font>
                <color rgb="FF00B050"/>
              </font>
            </x14:dxf>
          </x14:cfRule>
          <xm:sqref>B167:L168</xm:sqref>
        </x14:conditionalFormatting>
        <x14:conditionalFormatting xmlns:xm="http://schemas.microsoft.com/office/excel/2006/main">
          <x14:cfRule type="expression" priority="1225" id="{90334099-FEFC-4873-88A7-B4FA5FF7EEB2}">
            <xm:f>AND($B$1=2,'Broker Actual'!E32="-")</xm:f>
            <x14:dxf>
              <font>
                <color rgb="FF00B050"/>
              </font>
            </x14:dxf>
          </x14:cfRule>
          <xm:sqref>B172:L172 B173</xm:sqref>
        </x14:conditionalFormatting>
        <x14:conditionalFormatting xmlns:xm="http://schemas.microsoft.com/office/excel/2006/main">
          <x14:cfRule type="expression" priority="3488" id="{90334099-FEFC-4873-88A7-B4FA5FF7EEB2}">
            <xm:f>AND($B$1=2,'Broker Actual'!E33="-")</xm:f>
            <x14:dxf>
              <font>
                <color rgb="FF00B050"/>
              </font>
            </x14:dxf>
          </x14:cfRule>
          <xm:sqref>B174:L174</xm:sqref>
        </x14:conditionalFormatting>
        <x14:conditionalFormatting xmlns:xm="http://schemas.microsoft.com/office/excel/2006/main">
          <x14:cfRule type="expression" priority="1259" id="{90334099-FEFC-4873-88A7-B4FA5FF7EEB2}">
            <xm:f>AND($B$1=2,'Broker Actual'!E35="-")</xm:f>
            <x14:dxf>
              <font>
                <color rgb="FF00B050"/>
              </font>
            </x14:dxf>
          </x14:cfRule>
          <xm:sqref>B182:L183</xm:sqref>
        </x14:conditionalFormatting>
        <x14:conditionalFormatting xmlns:xm="http://schemas.microsoft.com/office/excel/2006/main">
          <x14:cfRule type="expression" priority="1939" id="{90334099-FEFC-4873-88A7-B4FA5FF7EEB2}">
            <xm:f>AND($B$1=2,'Broker Actual'!E39="-")</xm:f>
            <x14:dxf>
              <font>
                <color rgb="FF00B050"/>
              </font>
            </x14:dxf>
          </x14:cfRule>
          <xm:sqref>B196:L197 B198</xm:sqref>
        </x14:conditionalFormatting>
        <x14:conditionalFormatting xmlns:xm="http://schemas.microsoft.com/office/excel/2006/main">
          <x14:cfRule type="expression" priority="4023" id="{90334099-FEFC-4873-88A7-B4FA5FF7EEB2}">
            <xm:f>AND($B$1=2,'Broker Actual'!E41="-")</xm:f>
            <x14:dxf>
              <font>
                <color rgb="FF00B050"/>
              </font>
            </x14:dxf>
          </x14:cfRule>
          <xm:sqref>B199:L199</xm:sqref>
        </x14:conditionalFormatting>
        <x14:conditionalFormatting xmlns:xm="http://schemas.microsoft.com/office/excel/2006/main">
          <x14:cfRule type="expression" priority="1960" id="{90334099-FEFC-4873-88A7-B4FA5FF7EEB2}">
            <xm:f>AND($B$1=2,'Broker Actual'!E41="-")</xm:f>
            <x14:dxf>
              <font>
                <color rgb="FF00B050"/>
              </font>
            </x14:dxf>
          </x14:cfRule>
          <xm:sqref>B202:L202 B203</xm:sqref>
        </x14:conditionalFormatting>
        <x14:conditionalFormatting xmlns:xm="http://schemas.microsoft.com/office/excel/2006/main">
          <x14:cfRule type="expression" priority="911" id="{90334099-FEFC-4873-88A7-B4FA5FF7EEB2}">
            <xm:f>AND($B$1=2,'Broker Actual'!E37="-")</xm:f>
            <x14:dxf>
              <font>
                <color rgb="FF00B050"/>
              </font>
            </x14:dxf>
          </x14:cfRule>
          <xm:sqref>B206:L206</xm:sqref>
        </x14:conditionalFormatting>
        <x14:conditionalFormatting xmlns:xm="http://schemas.microsoft.com/office/excel/2006/main">
          <x14:cfRule type="expression" priority="169" id="{90334099-FEFC-4873-88A7-B4FA5FF7EEB2}">
            <xm:f>AND($B$1=2,'Broker Actual'!E42="-")</xm:f>
            <x14:dxf>
              <font>
                <color rgb="FF00B050"/>
              </font>
            </x14:dxf>
          </x14:cfRule>
          <xm:sqref>B212:L212 B214:L215 B216:B217</xm:sqref>
        </x14:conditionalFormatting>
        <x14:conditionalFormatting xmlns:xm="http://schemas.microsoft.com/office/excel/2006/main">
          <x14:cfRule type="expression" priority="3609" id="{90334099-FEFC-4873-88A7-B4FA5FF7EEB2}">
            <xm:f>AND($B$1=2,'Broker Actual'!E46="-")</xm:f>
            <x14:dxf>
              <font>
                <color rgb="FF00B050"/>
              </font>
            </x14:dxf>
          </x14:cfRule>
          <xm:sqref>B219:L219 B220:B221</xm:sqref>
        </x14:conditionalFormatting>
        <x14:conditionalFormatting xmlns:xm="http://schemas.microsoft.com/office/excel/2006/main">
          <x14:cfRule type="expression" priority="4096" id="{90334099-FEFC-4873-88A7-B4FA5FF7EEB2}">
            <xm:f>AND($B$1=2,'Broker Actual'!E47="-")</xm:f>
            <x14:dxf>
              <font>
                <color rgb="FF00B050"/>
              </font>
            </x14:dxf>
          </x14:cfRule>
          <xm:sqref>B222:L222</xm:sqref>
        </x14:conditionalFormatting>
        <x14:conditionalFormatting xmlns:xm="http://schemas.microsoft.com/office/excel/2006/main">
          <x14:cfRule type="expression" priority="3554" id="{90334099-FEFC-4873-88A7-B4FA5FF7EEB2}">
            <xm:f>AND($B$1=2,'Broker Actual'!E46="-")</xm:f>
            <x14:dxf>
              <font>
                <color rgb="FF00B050"/>
              </font>
            </x14:dxf>
          </x14:cfRule>
          <xm:sqref>B223:L224</xm:sqref>
        </x14:conditionalFormatting>
        <x14:conditionalFormatting xmlns:xm="http://schemas.microsoft.com/office/excel/2006/main">
          <x14:cfRule type="expression" priority="136" id="{EBB1C8A8-9419-4D83-BEAA-AA496BFC0463}">
            <xm:f>AND($B$1=2,'Broker Actual'!E50="-")</xm:f>
            <x14:dxf>
              <font>
                <color rgb="FF00B050"/>
              </font>
            </x14:dxf>
          </x14:cfRule>
          <xm:sqref>B256:L257</xm:sqref>
        </x14:conditionalFormatting>
        <x14:conditionalFormatting xmlns:xm="http://schemas.microsoft.com/office/excel/2006/main">
          <x14:cfRule type="expression" priority="3058" id="{3D7C9E23-B800-49B8-81EB-D98B492DA0E9}">
            <xm:f>AND($B$1=2,'Broker Actual'!E56="-")</xm:f>
            <x14:dxf>
              <font>
                <color rgb="FF00B050"/>
              </font>
            </x14:dxf>
          </x14:cfRule>
          <xm:sqref>B267:L267</xm:sqref>
        </x14:conditionalFormatting>
        <x14:conditionalFormatting xmlns:xm="http://schemas.microsoft.com/office/excel/2006/main">
          <x14:cfRule type="expression" priority="3886" id="{3D7C9E23-B800-49B8-81EB-D98B492DA0E9}">
            <xm:f>AND($B$1=2,'Broker Actual'!E62="-")</xm:f>
            <x14:dxf>
              <font>
                <color rgb="FF00B050"/>
              </font>
            </x14:dxf>
          </x14:cfRule>
          <xm:sqref>B274:L277 B278 B281:L281</xm:sqref>
        </x14:conditionalFormatting>
        <x14:conditionalFormatting xmlns:xm="http://schemas.microsoft.com/office/excel/2006/main">
          <x14:cfRule type="expression" priority="936" id="{3D7C9E23-B800-49B8-81EB-D98B492DA0E9}">
            <xm:f>AND($B$1=2,'Broker Actual'!E68="-")</xm:f>
            <x14:dxf>
              <font>
                <color rgb="FF00B050"/>
              </font>
            </x14:dxf>
          </x14:cfRule>
          <xm:sqref>B274:L277 B278</xm:sqref>
        </x14:conditionalFormatting>
        <x14:conditionalFormatting xmlns:xm="http://schemas.microsoft.com/office/excel/2006/main">
          <x14:cfRule type="expression" priority="363" id="{3D7C9E23-B800-49B8-81EB-D98B492DA0E9}">
            <xm:f>AND($B$1=2,'Broker Actual'!E68="-")</xm:f>
            <x14:dxf>
              <font>
                <color rgb="FF00B050"/>
              </font>
            </x14:dxf>
          </x14:cfRule>
          <xm:sqref>B277:L277 B278</xm:sqref>
        </x14:conditionalFormatting>
        <x14:conditionalFormatting xmlns:xm="http://schemas.microsoft.com/office/excel/2006/main">
          <x14:cfRule type="expression" priority="3834" id="{3D7C9E23-B800-49B8-81EB-D98B492DA0E9}">
            <xm:f>AND($B$1=2,'Broker Actual'!E71="-")</xm:f>
            <x14:dxf>
              <font>
                <color rgb="FF00B050"/>
              </font>
            </x14:dxf>
          </x14:cfRule>
          <x14:cfRule type="expression" priority="3978" id="{3D7C9E23-B800-49B8-81EB-D98B492DA0E9}">
            <xm:f>AND($B$1=2,'Broker Actual'!E66="-")</xm:f>
            <x14:dxf>
              <font>
                <color rgb="FF00B050"/>
              </font>
            </x14:dxf>
          </x14:cfRule>
          <xm:sqref>B279:L279 B280</xm:sqref>
        </x14:conditionalFormatting>
        <x14:conditionalFormatting xmlns:xm="http://schemas.microsoft.com/office/excel/2006/main">
          <x14:cfRule type="expression" priority="455" id="{3D7C9E23-B800-49B8-81EB-D98B492DA0E9}">
            <xm:f>AND($B$1=2,'Broker Actual'!#REF!="-")</xm:f>
            <x14:dxf>
              <font>
                <color rgb="FF00B050"/>
              </font>
            </x14:dxf>
          </x14:cfRule>
          <xm:sqref>B282:L282</xm:sqref>
        </x14:conditionalFormatting>
        <x14:conditionalFormatting xmlns:xm="http://schemas.microsoft.com/office/excel/2006/main">
          <x14:cfRule type="expression" priority="451" id="{3D7C9E23-B800-49B8-81EB-D98B492DA0E9}">
            <xm:f>AND($B$1=2,'Broker Actual'!#REF!="-")</xm:f>
            <x14:dxf>
              <font>
                <color rgb="FF00B050"/>
              </font>
            </x14:dxf>
          </x14:cfRule>
          <x14:cfRule type="expression" priority="121" id="{3D7C9E23-B800-49B8-81EB-D98B492DA0E9}">
            <xm:f>AND($B$1=2,'Broker Actual'!E68="-")</xm:f>
            <x14:dxf>
              <font>
                <color rgb="FF00B050"/>
              </font>
            </x14:dxf>
          </x14:cfRule>
          <xm:sqref>B282:L283</xm:sqref>
        </x14:conditionalFormatting>
        <x14:conditionalFormatting xmlns:xm="http://schemas.microsoft.com/office/excel/2006/main">
          <x14:cfRule type="expression" priority="1086" id="{3D7C9E23-B800-49B8-81EB-D98B492DA0E9}">
            <xm:f>AND($B$1=2,'Broker Actual'!E73="-")</xm:f>
            <x14:dxf>
              <font>
                <color rgb="FF00B050"/>
              </font>
            </x14:dxf>
          </x14:cfRule>
          <x14:cfRule type="expression" priority="1084" id="{3D7C9E23-B800-49B8-81EB-D98B492DA0E9}">
            <xm:f>AND($B$1=2,'Broker Actual'!E68="-")</xm:f>
            <x14:dxf>
              <font>
                <color rgb="FF00B050"/>
              </font>
            </x14:dxf>
          </x14:cfRule>
          <xm:sqref>B283:L283</xm:sqref>
        </x14:conditionalFormatting>
        <x14:conditionalFormatting xmlns:xm="http://schemas.microsoft.com/office/excel/2006/main">
          <x14:cfRule type="expression" priority="567" id="{3D7C9E23-B800-49B8-81EB-D98B492DA0E9}">
            <xm:f>AND($B$1=2,'Broker Actual'!E68="-")</xm:f>
            <x14:dxf>
              <font>
                <color rgb="FF00B050"/>
              </font>
            </x14:dxf>
          </x14:cfRule>
          <xm:sqref>B284:L284</xm:sqref>
        </x14:conditionalFormatting>
        <x14:conditionalFormatting xmlns:xm="http://schemas.microsoft.com/office/excel/2006/main">
          <x14:cfRule type="expression" priority="945" id="{3D18E99C-1DF0-4D53-B885-0F2700F3B5A5}">
            <xm:f>AND($B$1=2,'Broker Actual'!E71="-")</xm:f>
            <x14:dxf>
              <font>
                <color rgb="FF00B050"/>
              </font>
            </x14:dxf>
          </x14:cfRule>
          <xm:sqref>B293:L293</xm:sqref>
        </x14:conditionalFormatting>
        <x14:conditionalFormatting xmlns:xm="http://schemas.microsoft.com/office/excel/2006/main">
          <x14:cfRule type="expression" priority="112" id="{3D18E99C-1DF0-4D53-B885-0F2700F3B5A5}">
            <xm:f>AND($B$1=2,'Broker Actual'!E72="-")</xm:f>
            <x14:dxf>
              <font>
                <color rgb="FF00B050"/>
              </font>
            </x14:dxf>
          </x14:cfRule>
          <xm:sqref>B295:L298 B301:L304</xm:sqref>
        </x14:conditionalFormatting>
        <x14:conditionalFormatting xmlns:xm="http://schemas.microsoft.com/office/excel/2006/main">
          <x14:cfRule type="expression" priority="338" id="{3D7C9E23-B800-49B8-81EB-D98B492DA0E9}">
            <xm:f>AND($B$1=2,'Broker Actual'!L68="-")</xm:f>
            <x14:dxf>
              <font>
                <color rgb="FF00B050"/>
              </font>
            </x14:dxf>
          </x14:cfRule>
          <xm:sqref>I275:L277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0248-91FB-4A5D-AE42-3569CCD99900}">
  <dimension ref="A1:AT359"/>
  <sheetViews>
    <sheetView zoomScale="70" zoomScaleNormal="70" workbookViewId="0">
      <pane xSplit="2" ySplit="7" topLeftCell="C200" activePane="bottomRight" state="frozen"/>
      <selection pane="topRight" activeCell="C1" sqref="C1"/>
      <selection pane="bottomLeft" activeCell="A8" sqref="A8"/>
      <selection pane="bottomRight" activeCell="O220" sqref="O220"/>
    </sheetView>
  </sheetViews>
  <sheetFormatPr baseColWidth="10" defaultColWidth="10.19921875" defaultRowHeight="14" outlineLevelRow="2" outlineLevelCol="2" x14ac:dyDescent="0.15"/>
  <cols>
    <col min="1" max="1" width="60.19921875" style="78" customWidth="1"/>
    <col min="2" max="2" width="20.796875" style="75" hidden="1" customWidth="1"/>
    <col min="3" max="3" width="20.19921875" style="75" customWidth="1"/>
    <col min="4" max="4" width="10.59765625" style="75" bestFit="1" customWidth="1"/>
    <col min="5" max="5" width="11" style="75" bestFit="1" customWidth="1"/>
    <col min="6" max="7" width="10.59765625" style="75" bestFit="1" customWidth="1"/>
    <col min="8" max="12" width="11.19921875" style="75" bestFit="1" customWidth="1"/>
    <col min="13" max="13" width="13.19921875" style="75" customWidth="1"/>
    <col min="14" max="15" width="11.59765625" style="75" bestFit="1" customWidth="1"/>
    <col min="16" max="17" width="11.19921875" style="75" bestFit="1" customWidth="1" outlineLevel="1"/>
    <col min="18" max="20" width="12" style="75" customWidth="1" outlineLevel="1"/>
    <col min="21" max="21" width="25.19921875" style="112" customWidth="1"/>
    <col min="22" max="22" width="16.19921875" style="77" customWidth="1" outlineLevel="2"/>
    <col min="23" max="23" width="21" style="75" customWidth="1" outlineLevel="2"/>
    <col min="24" max="26" width="12" style="75" customWidth="1" outlineLevel="1"/>
    <col min="27" max="27" width="6.796875" style="78" customWidth="1" outlineLevel="1"/>
    <col min="28" max="28" width="12" style="75" customWidth="1" outlineLevel="1"/>
    <col min="29" max="29" width="4.19921875" style="75" customWidth="1" outlineLevel="1"/>
    <col min="30" max="30" width="10.19921875" style="78" outlineLevel="1"/>
    <col min="31" max="32" width="14.796875" style="78" customWidth="1" outlineLevel="1"/>
    <col min="33" max="16384" width="10.19921875" style="78"/>
  </cols>
  <sheetData>
    <row r="1" spans="1:32" ht="27" customHeight="1" x14ac:dyDescent="0.15">
      <c r="A1" s="208" t="s">
        <v>258</v>
      </c>
      <c r="B1" s="72">
        <v>2</v>
      </c>
      <c r="C1" s="73">
        <v>1</v>
      </c>
      <c r="D1" s="72">
        <v>2</v>
      </c>
      <c r="E1" s="209" t="s">
        <v>21</v>
      </c>
      <c r="F1" s="74" t="s">
        <v>22</v>
      </c>
      <c r="G1" s="74" t="s">
        <v>23</v>
      </c>
      <c r="U1" s="76" t="s">
        <v>24</v>
      </c>
      <c r="AD1" s="75"/>
      <c r="AF1" s="79" t="s">
        <v>25</v>
      </c>
    </row>
    <row r="2" spans="1:32" s="82" customFormat="1" x14ac:dyDescent="0.15">
      <c r="A2" s="210" t="s">
        <v>26</v>
      </c>
      <c r="B2" s="211" t="str">
        <f>CHOOSE(B1,"GAAP/IFRS","Broker Actual")</f>
        <v>Broker Actual</v>
      </c>
      <c r="C2" s="211" t="str">
        <f>CHOOSE(C1,AE3,AF3)</f>
        <v>Incl. restate</v>
      </c>
      <c r="D2" s="211" t="str">
        <f>CHOOSE(D1,AE2,AF2)</f>
        <v>Median</v>
      </c>
      <c r="E2" s="211" t="s">
        <v>17</v>
      </c>
      <c r="F2" s="80" t="s">
        <v>27</v>
      </c>
      <c r="G2" s="81" t="s">
        <v>28</v>
      </c>
      <c r="J2" s="83" t="s">
        <v>29</v>
      </c>
      <c r="U2" s="84"/>
      <c r="V2" s="85"/>
      <c r="Y2" s="82" t="s">
        <v>17</v>
      </c>
      <c r="AE2" s="212" t="s">
        <v>30</v>
      </c>
      <c r="AF2" s="212" t="s">
        <v>31</v>
      </c>
    </row>
    <row r="3" spans="1:32" x14ac:dyDescent="0.15">
      <c r="A3" s="213" t="s">
        <v>32</v>
      </c>
      <c r="B3" s="77"/>
      <c r="F3" s="86" t="s">
        <v>33</v>
      </c>
      <c r="G3" s="86" t="s">
        <v>34</v>
      </c>
      <c r="H3" s="78"/>
      <c r="L3" s="482">
        <f ca="1">L4-L7</f>
        <v>366</v>
      </c>
      <c r="U3" s="87"/>
      <c r="AE3" s="214" t="s">
        <v>35</v>
      </c>
      <c r="AF3" s="214" t="s">
        <v>36</v>
      </c>
    </row>
    <row r="4" spans="1:32" x14ac:dyDescent="0.15">
      <c r="A4" s="215" t="str">
        <f>"Financial Statements Summary - "&amp; _xll.FDSC("-",ALLFINSTAT_RWIdentifier,"FG_COMPANY_NAME")&amp;" ("&amp;UPPER(ALLFINSTAT_RWIdentifier)&amp;")"</f>
        <v>Financial Statements Summary - Unum Group (UNM)</v>
      </c>
      <c r="B4" s="78"/>
      <c r="C4" s="78"/>
      <c r="D4" s="78"/>
      <c r="E4" s="78"/>
      <c r="F4" s="77" t="s">
        <v>37</v>
      </c>
      <c r="G4" s="77" t="s">
        <v>38</v>
      </c>
      <c r="H4" s="78"/>
      <c r="I4" s="78"/>
      <c r="L4" s="481">
        <f ca="1">TODAY()</f>
        <v>45262</v>
      </c>
      <c r="M4" s="138">
        <f ca="1">(365-L3)/365</f>
        <v>-2.7397260273972603E-3</v>
      </c>
      <c r="N4" s="254">
        <f ca="1">1-M4</f>
        <v>1.0027397260273974</v>
      </c>
      <c r="U4" s="87"/>
      <c r="AE4" s="214" t="s">
        <v>39</v>
      </c>
      <c r="AF4" s="214" t="s">
        <v>40</v>
      </c>
    </row>
    <row r="5" spans="1:32" s="92" customFormat="1" x14ac:dyDescent="0.15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90"/>
      <c r="V5" s="91"/>
      <c r="W5" s="89"/>
      <c r="X5" s="89"/>
      <c r="Y5" s="89"/>
      <c r="Z5" s="89"/>
      <c r="AB5" s="89"/>
      <c r="AC5" s="93"/>
    </row>
    <row r="6" spans="1:32" x14ac:dyDescent="0.15">
      <c r="A6" s="94" t="s">
        <v>41</v>
      </c>
      <c r="B6" s="95" t="s">
        <v>42</v>
      </c>
      <c r="C6" s="95" t="s">
        <v>43</v>
      </c>
      <c r="D6" s="95" t="s">
        <v>44</v>
      </c>
      <c r="E6" s="95" t="s">
        <v>45</v>
      </c>
      <c r="F6" s="95" t="s">
        <v>46</v>
      </c>
      <c r="G6" s="95" t="s">
        <v>47</v>
      </c>
      <c r="H6" s="95" t="s">
        <v>48</v>
      </c>
      <c r="I6" s="95" t="s">
        <v>49</v>
      </c>
      <c r="J6" s="95" t="s">
        <v>50</v>
      </c>
      <c r="K6" s="95" t="s">
        <v>51</v>
      </c>
      <c r="L6" s="95" t="s">
        <v>52</v>
      </c>
      <c r="M6" s="95" t="s">
        <v>53</v>
      </c>
      <c r="N6" s="95" t="s">
        <v>54</v>
      </c>
      <c r="O6" s="95" t="s">
        <v>55</v>
      </c>
      <c r="P6" s="95" t="s">
        <v>589</v>
      </c>
      <c r="Q6" s="95" t="s">
        <v>590</v>
      </c>
      <c r="R6" s="95"/>
      <c r="S6" s="95"/>
      <c r="T6" s="95"/>
      <c r="U6" s="96"/>
      <c r="V6" s="97" t="s">
        <v>56</v>
      </c>
      <c r="W6" s="97" t="s">
        <v>57</v>
      </c>
      <c r="X6" s="95" t="s">
        <v>53</v>
      </c>
      <c r="Y6" s="95" t="s">
        <v>54</v>
      </c>
      <c r="Z6" s="95" t="s">
        <v>55</v>
      </c>
      <c r="AA6" s="98"/>
      <c r="AB6" s="98"/>
      <c r="AC6" s="98"/>
    </row>
    <row r="7" spans="1:32" x14ac:dyDescent="0.15">
      <c r="A7" s="78" t="s">
        <v>58</v>
      </c>
      <c r="B7" s="99" t="str" cm="1">
        <f t="array" ref="B7">_xll.FDSRC("-",$A$1,"CONVERT_DATE(FF_FISCAL_DATE(ANN_R,"&amp;B$6&amp;","&amp;B$6&amp;",,,"""",""DATEJ""),""MM/YYYY"")")</f>
        <v>12/2012</v>
      </c>
      <c r="C7" s="99" t="str" cm="1">
        <f t="array" ref="C7">_xll.FDSRC("-",$A$1,"CONVERT_DATE(FF_FISCAL_DATE(ANN_R,"&amp;C$6&amp;","&amp;C$6&amp;",,,"""",""DATEJ""),""MM/YYYY"")")</f>
        <v>12/2013</v>
      </c>
      <c r="D7" s="99" t="str" cm="1">
        <f t="array" ref="D7">_xll.FDSRC("-",$A$1,"CONVERT_DATE(FF_FISCAL_DATE(ANN_R,"&amp;D$6&amp;","&amp;D$6&amp;",,,"""",""DATEJ""),""MM/YYYY"")")</f>
        <v>12/2014</v>
      </c>
      <c r="E7" s="99" t="str" cm="1">
        <f t="array" ref="E7">_xll.FDSRC("-",$A$1,"CONVERT_DATE(FF_FISCAL_DATE(ANN_R,"&amp;E$6&amp;","&amp;E$6&amp;",,,"""",""DATEJ""),""MM/YYYY"")")</f>
        <v>12/2015</v>
      </c>
      <c r="F7" s="99" t="str" cm="1">
        <f t="array" ref="F7">_xll.FDSRC("-",$A$1,"CONVERT_DATE(FF_FISCAL_DATE(ANN_R,"&amp;F$6&amp;","&amp;F$6&amp;",,,"""",""DATEJ""),""MM/YYYY"")")</f>
        <v>12/2016</v>
      </c>
      <c r="G7" s="99" t="str" cm="1">
        <f t="array" ref="G7">_xll.FDSRC("-",$A$1,"CONVERT_DATE(FF_FISCAL_DATE(ANN_R,"&amp;G$6&amp;","&amp;G$6&amp;",,,"""",""DATEJ""),""MM/YYYY"")")</f>
        <v>12/2017</v>
      </c>
      <c r="H7" s="99" t="str" cm="1">
        <f t="array" ref="H7">_xll.FDSRC("-",$A$1,"CONVERT_DATE(FF_FISCAL_DATE(ANN_R,"&amp;H$6&amp;","&amp;H$6&amp;",,,"""",""DATEJ""),""MM/YYYY"")")</f>
        <v>12/2018</v>
      </c>
      <c r="I7" s="99" t="str" cm="1">
        <f t="array" ref="I7">_xll.FDSRC("-",$A$1,"CONVERT_DATE(FF_FISCAL_DATE(ANN_R,"&amp;I$6&amp;","&amp;I$6&amp;",,,"""",""DATEJ""),""MM/YYYY"")")</f>
        <v>12/2019</v>
      </c>
      <c r="J7" s="99" t="str" cm="1">
        <f t="array" ref="J7">_xll.FDSRC("-",$A$1,"CONVERT_DATE(FF_FISCAL_DATE(ANN_R,"&amp;J$6&amp;","&amp;J$6&amp;",,,"""",""DATEJ""),""MM/YYYY"")")</f>
        <v>12/2020</v>
      </c>
      <c r="K7" s="99" t="str" cm="1">
        <f t="array" ref="K7">_xll.FDSRC("-",$A$1,"CONVERT_DATE(FF_FISCAL_DATE(ANN_R,"&amp;K$6&amp;","&amp;K$6&amp;",,,"""",""DATEJ""),""MM/YYYY"")")</f>
        <v>12/2021</v>
      </c>
      <c r="L7" s="99" t="str" cm="1">
        <f t="array" ref="L7">_xll.FDSRC("-",$A$1,"CONVERT_DATE(FF_FISCAL_DATE(ANN_R,"&amp;L$6&amp;","&amp;L$6&amp;",,,"""",""DATEJ""),""MM/YYYY"")")</f>
        <v>12/2022</v>
      </c>
      <c r="M7" s="100">
        <v>45291</v>
      </c>
      <c r="N7" s="100">
        <v>45657</v>
      </c>
      <c r="O7" s="100">
        <v>46022</v>
      </c>
      <c r="P7" s="100">
        <v>46387</v>
      </c>
      <c r="Q7" s="100">
        <v>46752</v>
      </c>
      <c r="R7" s="101"/>
      <c r="S7" s="101"/>
      <c r="T7" s="101"/>
      <c r="U7" s="102"/>
      <c r="V7" s="103"/>
      <c r="W7" s="104"/>
      <c r="X7" s="105" t="str" cm="1">
        <f t="array" ref="X7">_xll.FDSC("",$A$1,"FE_ACTUAL_DATE(FISCALPERIODEND,,ANNUAL,1,'MM/YYYY')")</f>
        <v>12/2023</v>
      </c>
      <c r="Y7" s="105" t="str" cm="1">
        <f t="array" ref="Y7">_xll.FDSC("",$A$1,"FE_ACTUAL_DATE(FISCALPERIODEND,,ANNUAL,2,'MM/YYYY')")</f>
        <v>12/2024</v>
      </c>
      <c r="Z7" s="105" t="str" cm="1">
        <f t="array" ref="Z7">_xll.FDSC("",$A$1,"FE_ACTUAL_DATE(FISCALPERIODEND,,ANNUAL,3,'MM/YYYY')")</f>
        <v>12/2025</v>
      </c>
      <c r="AA7" s="106"/>
      <c r="AB7" s="105"/>
      <c r="AC7" s="107"/>
    </row>
    <row r="8" spans="1:32" x14ac:dyDescent="0.15">
      <c r="A8" s="108" t="s">
        <v>59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100"/>
      <c r="N8" s="100"/>
      <c r="O8" s="99"/>
      <c r="P8" s="101"/>
      <c r="Q8" s="101"/>
      <c r="R8" s="101"/>
      <c r="S8" s="101"/>
      <c r="T8" s="101"/>
      <c r="U8" s="102"/>
      <c r="V8" s="103"/>
      <c r="W8" s="104"/>
      <c r="X8" s="105"/>
      <c r="Y8" s="105"/>
      <c r="Z8" s="105"/>
      <c r="AA8" s="106"/>
      <c r="AB8" s="105"/>
      <c r="AC8" s="107"/>
    </row>
    <row r="9" spans="1:32" x14ac:dyDescent="0.15">
      <c r="A9" s="109" t="s">
        <v>60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1"/>
      <c r="P9" s="111"/>
      <c r="Q9" s="111"/>
      <c r="R9" s="111"/>
      <c r="S9" s="111"/>
      <c r="T9" s="111"/>
      <c r="AA9" s="75"/>
    </row>
    <row r="10" spans="1:32" x14ac:dyDescent="0.15">
      <c r="A10" s="113" t="s">
        <v>61</v>
      </c>
      <c r="B10" s="75" t="s">
        <v>62</v>
      </c>
      <c r="C10" s="75" t="s">
        <v>63</v>
      </c>
      <c r="D10" s="75" t="s">
        <v>64</v>
      </c>
      <c r="E10" s="75" t="s">
        <v>65</v>
      </c>
      <c r="F10" s="75" t="s">
        <v>66</v>
      </c>
      <c r="G10" s="75" t="s">
        <v>67</v>
      </c>
      <c r="H10" s="75" t="s">
        <v>68</v>
      </c>
      <c r="I10" s="75" t="s">
        <v>69</v>
      </c>
      <c r="J10" s="75" t="s">
        <v>70</v>
      </c>
      <c r="K10" s="75" t="s">
        <v>71</v>
      </c>
      <c r="L10" s="75" t="s">
        <v>72</v>
      </c>
      <c r="M10" s="114"/>
      <c r="N10" s="114"/>
      <c r="O10" s="114"/>
    </row>
    <row r="11" spans="1:32" ht="15" outlineLevel="2" x14ac:dyDescent="0.15">
      <c r="A11" s="202" t="s">
        <v>259</v>
      </c>
      <c r="B11" s="115"/>
      <c r="C11" s="198">
        <v>7624.7</v>
      </c>
      <c r="D11" s="198">
        <v>7797.2</v>
      </c>
      <c r="E11" s="198">
        <v>8082.4</v>
      </c>
      <c r="F11" s="198">
        <v>8357.7000000000007</v>
      </c>
      <c r="G11" s="198">
        <v>8597.1</v>
      </c>
      <c r="H11" s="198">
        <v>8986.1</v>
      </c>
      <c r="I11" s="198">
        <v>9365.6</v>
      </c>
      <c r="J11" s="198">
        <v>9378.1</v>
      </c>
      <c r="K11" s="198">
        <v>9481</v>
      </c>
      <c r="L11" s="198">
        <v>9623.4</v>
      </c>
      <c r="M11" s="252">
        <f>M13+M15+M17+M19</f>
        <v>10034.611999999999</v>
      </c>
      <c r="N11" s="252">
        <f>N13+N15+N17+N19</f>
        <v>11567.79464</v>
      </c>
      <c r="O11" s="252">
        <f t="shared" ref="O11:Q11" si="0">O13+O15+O17+O19</f>
        <v>11932.7813348</v>
      </c>
      <c r="P11" s="252">
        <f t="shared" si="0"/>
        <v>12042.666148147999</v>
      </c>
      <c r="Q11" s="252">
        <f t="shared" si="0"/>
        <v>12068.85237894788</v>
      </c>
      <c r="R11" s="117"/>
      <c r="S11" s="117"/>
      <c r="T11" s="117"/>
      <c r="U11" s="118"/>
      <c r="V11" s="119"/>
      <c r="W11" s="119"/>
      <c r="X11" s="117"/>
      <c r="Y11" s="117"/>
      <c r="Z11" s="117"/>
      <c r="AA11" s="117"/>
      <c r="AB11" s="117"/>
      <c r="AC11" s="120"/>
    </row>
    <row r="12" spans="1:32" ht="15" outlineLevel="2" x14ac:dyDescent="0.15">
      <c r="A12" s="206" t="s">
        <v>272</v>
      </c>
      <c r="B12" s="115"/>
      <c r="C12" s="198"/>
      <c r="D12" s="207">
        <f>(D11-C11)/C11</f>
        <v>2.2623840938004118E-2</v>
      </c>
      <c r="E12" s="207">
        <f t="shared" ref="E12:Q12" si="1">(E11-D11)/D11</f>
        <v>3.6577232852818935E-2</v>
      </c>
      <c r="F12" s="207">
        <f t="shared" si="1"/>
        <v>3.406166485202429E-2</v>
      </c>
      <c r="G12" s="207">
        <f t="shared" si="1"/>
        <v>2.8644244229871808E-2</v>
      </c>
      <c r="H12" s="207">
        <f t="shared" si="1"/>
        <v>4.5247816124041829E-2</v>
      </c>
      <c r="I12" s="207">
        <f t="shared" si="1"/>
        <v>4.2231891476836446E-2</v>
      </c>
      <c r="J12" s="207">
        <f t="shared" si="1"/>
        <v>1.3346715640215256E-3</v>
      </c>
      <c r="K12" s="207">
        <f t="shared" si="1"/>
        <v>1.0972371802390636E-2</v>
      </c>
      <c r="L12" s="207">
        <f t="shared" si="1"/>
        <v>1.5019512709629748E-2</v>
      </c>
      <c r="M12" s="224">
        <f t="shared" si="1"/>
        <v>4.2730427915289769E-2</v>
      </c>
      <c r="N12" s="224">
        <f t="shared" si="1"/>
        <v>0.15278942922755767</v>
      </c>
      <c r="O12" s="224">
        <f t="shared" si="1"/>
        <v>3.1551968733774124E-2</v>
      </c>
      <c r="P12" s="224">
        <f t="shared" si="1"/>
        <v>9.2086505454966883E-3</v>
      </c>
      <c r="Q12" s="224">
        <f t="shared" si="1"/>
        <v>2.1744545998154102E-3</v>
      </c>
      <c r="R12" s="117"/>
      <c r="S12" s="117"/>
      <c r="T12" s="117"/>
      <c r="U12" s="118"/>
      <c r="V12" s="119"/>
      <c r="W12" s="119"/>
      <c r="X12" s="117"/>
      <c r="Y12" s="117"/>
      <c r="Z12" s="117"/>
      <c r="AA12" s="117"/>
      <c r="AB12" s="117"/>
      <c r="AC12" s="120"/>
    </row>
    <row r="13" spans="1:32" ht="15" outlineLevel="2" x14ac:dyDescent="0.15">
      <c r="A13" s="205" t="s">
        <v>268</v>
      </c>
      <c r="B13" s="115"/>
      <c r="C13" s="198">
        <v>4517.1000000000004</v>
      </c>
      <c r="D13" s="198">
        <v>4659.7</v>
      </c>
      <c r="E13" s="198">
        <v>4960</v>
      </c>
      <c r="F13" s="198">
        <v>5240.8999999999996</v>
      </c>
      <c r="G13" s="198">
        <v>5443.5</v>
      </c>
      <c r="H13" s="198">
        <v>5736.4</v>
      </c>
      <c r="I13" s="198">
        <v>6016.6</v>
      </c>
      <c r="J13" s="198">
        <v>6018.9</v>
      </c>
      <c r="K13" s="198">
        <v>6078</v>
      </c>
      <c r="L13" s="198">
        <v>6258.3</v>
      </c>
      <c r="M13" s="252">
        <f>L13*(1+M14)</f>
        <v>6589.7000000000007</v>
      </c>
      <c r="N13" s="252">
        <f t="shared" ref="N13:Q13" si="2">M13*(1+N14)</f>
        <v>8072.8704000000007</v>
      </c>
      <c r="O13" s="252">
        <f t="shared" si="2"/>
        <v>8395.7852160000002</v>
      </c>
      <c r="P13" s="252">
        <f t="shared" si="2"/>
        <v>8479.7430681599999</v>
      </c>
      <c r="Q13" s="252">
        <f t="shared" si="2"/>
        <v>8479.7430681599999</v>
      </c>
      <c r="R13" s="117"/>
      <c r="S13" s="117"/>
      <c r="T13" s="117"/>
      <c r="U13" s="118"/>
      <c r="V13" s="119"/>
      <c r="W13" s="119"/>
      <c r="X13" s="117"/>
      <c r="Y13" s="117"/>
      <c r="Z13" s="117"/>
      <c r="AA13" s="117"/>
      <c r="AB13" s="117"/>
      <c r="AC13" s="120"/>
    </row>
    <row r="14" spans="1:32" ht="15" outlineLevel="2" x14ac:dyDescent="0.15">
      <c r="A14" s="206" t="s">
        <v>272</v>
      </c>
      <c r="B14" s="115"/>
      <c r="C14" s="198"/>
      <c r="D14" s="207">
        <f>(D13-C13)/C13</f>
        <v>3.1568926966416382E-2</v>
      </c>
      <c r="E14" s="207">
        <f t="shared" ref="E14:L14" si="3">(E13-D13)/D13</f>
        <v>6.4446208983410996E-2</v>
      </c>
      <c r="F14" s="207">
        <f t="shared" si="3"/>
        <v>5.6633064516128956E-2</v>
      </c>
      <c r="G14" s="207">
        <f t="shared" si="3"/>
        <v>3.8657482493464936E-2</v>
      </c>
      <c r="H14" s="207">
        <f t="shared" si="3"/>
        <v>5.3807293101864544E-2</v>
      </c>
      <c r="I14" s="207">
        <f t="shared" si="3"/>
        <v>4.8845966111149983E-2</v>
      </c>
      <c r="J14" s="207">
        <f t="shared" si="3"/>
        <v>3.8227570388579466E-4</v>
      </c>
      <c r="K14" s="207">
        <f t="shared" si="3"/>
        <v>9.8190699297214384E-3</v>
      </c>
      <c r="L14" s="207">
        <f t="shared" si="3"/>
        <v>2.9664363277393909E-2</v>
      </c>
      <c r="M14" s="123">
        <f>'Unum US Breakout - Bull'!AO6</f>
        <v>5.2953677516258499E-2</v>
      </c>
      <c r="N14" s="123">
        <f>'Unum US Breakout - Bull'!AP6</f>
        <v>0.22507403978936827</v>
      </c>
      <c r="O14" s="123">
        <f>'Unum US Breakout - Bull'!AQ6</f>
        <v>0.04</v>
      </c>
      <c r="P14" s="123">
        <v>0.01</v>
      </c>
      <c r="Q14" s="123">
        <v>0</v>
      </c>
      <c r="R14" s="117"/>
      <c r="S14" s="117"/>
      <c r="T14" s="117"/>
      <c r="U14" s="118"/>
      <c r="V14" s="119"/>
      <c r="W14" s="119"/>
      <c r="X14" s="117"/>
      <c r="Y14" s="117"/>
      <c r="Z14" s="117"/>
      <c r="AA14" s="117"/>
      <c r="AB14" s="117"/>
      <c r="AC14" s="120"/>
    </row>
    <row r="15" spans="1:32" ht="15" outlineLevel="2" x14ac:dyDescent="0.15">
      <c r="A15" s="205" t="s">
        <v>269</v>
      </c>
      <c r="B15" s="115"/>
      <c r="C15" s="198">
        <v>556.6</v>
      </c>
      <c r="D15" s="198">
        <v>607.20000000000005</v>
      </c>
      <c r="E15" s="198">
        <v>576.20000000000005</v>
      </c>
      <c r="F15" s="198">
        <v>529.29999999999995</v>
      </c>
      <c r="G15" s="198">
        <v>513</v>
      </c>
      <c r="H15" s="198">
        <v>568.79999999999995</v>
      </c>
      <c r="I15" s="198">
        <v>630.5</v>
      </c>
      <c r="J15" s="198">
        <v>652.79999999999995</v>
      </c>
      <c r="K15" s="198">
        <v>717</v>
      </c>
      <c r="L15" s="198">
        <v>718.8</v>
      </c>
      <c r="M15" s="252">
        <f>L15*(1+M16)</f>
        <v>747.55200000000002</v>
      </c>
      <c r="N15" s="252">
        <f>M15*(1+N16)</f>
        <v>762.50304000000006</v>
      </c>
      <c r="O15" s="252">
        <f t="shared" ref="O15:Q15" si="4">N15*(1+O16)</f>
        <v>777.75310080000008</v>
      </c>
      <c r="P15" s="252">
        <f t="shared" si="4"/>
        <v>785.53063180800007</v>
      </c>
      <c r="Q15" s="252">
        <f t="shared" si="4"/>
        <v>793.38593812608008</v>
      </c>
      <c r="R15" s="117"/>
      <c r="S15" s="117"/>
      <c r="T15" s="117"/>
      <c r="U15" s="118"/>
      <c r="V15" s="119"/>
      <c r="W15" s="119"/>
      <c r="X15" s="117"/>
      <c r="Y15" s="117"/>
      <c r="Z15" s="117"/>
      <c r="AA15" s="117"/>
      <c r="AB15" s="117"/>
      <c r="AC15" s="120"/>
    </row>
    <row r="16" spans="1:32" ht="15" outlineLevel="2" x14ac:dyDescent="0.15">
      <c r="A16" s="206" t="s">
        <v>272</v>
      </c>
      <c r="B16" s="115"/>
      <c r="C16" s="198"/>
      <c r="D16" s="207">
        <f>(D15-C15)/C15</f>
        <v>9.0909090909090939E-2</v>
      </c>
      <c r="E16" s="207">
        <f t="shared" ref="E16:L16" si="5">(E15-D15)/D15</f>
        <v>-5.1054018445322792E-2</v>
      </c>
      <c r="F16" s="207">
        <f t="shared" si="5"/>
        <v>-8.1395348837209447E-2</v>
      </c>
      <c r="G16" s="207">
        <f t="shared" si="5"/>
        <v>-3.0795390137917922E-2</v>
      </c>
      <c r="H16" s="207">
        <f t="shared" si="5"/>
        <v>0.10877192982456131</v>
      </c>
      <c r="I16" s="207">
        <f t="shared" si="5"/>
        <v>0.10847398030942344</v>
      </c>
      <c r="J16" s="207">
        <f t="shared" si="5"/>
        <v>3.5368754956383752E-2</v>
      </c>
      <c r="K16" s="207">
        <f t="shared" si="5"/>
        <v>9.8345588235294198E-2</v>
      </c>
      <c r="L16" s="207">
        <f t="shared" si="5"/>
        <v>2.5104602510459617E-3</v>
      </c>
      <c r="M16" s="123">
        <v>0.04</v>
      </c>
      <c r="N16" s="123">
        <v>0.02</v>
      </c>
      <c r="O16" s="123">
        <v>0.02</v>
      </c>
      <c r="P16" s="123">
        <v>0.01</v>
      </c>
      <c r="Q16" s="123">
        <v>0.01</v>
      </c>
      <c r="R16" s="117"/>
      <c r="S16" s="117"/>
      <c r="T16" s="117"/>
      <c r="U16" s="118"/>
      <c r="V16" s="119"/>
      <c r="W16" s="119"/>
      <c r="X16" s="117"/>
      <c r="Y16" s="117"/>
      <c r="Z16" s="117"/>
      <c r="AA16" s="117"/>
      <c r="AB16" s="117"/>
      <c r="AC16" s="120"/>
    </row>
    <row r="17" spans="1:29" ht="15" outlineLevel="2" x14ac:dyDescent="0.15">
      <c r="A17" s="205" t="s">
        <v>270</v>
      </c>
      <c r="B17" s="115"/>
      <c r="C17" s="198">
        <v>1232.2</v>
      </c>
      <c r="D17" s="198">
        <v>1273.7</v>
      </c>
      <c r="E17" s="198">
        <v>1338.6</v>
      </c>
      <c r="F17" s="198">
        <v>1417.1</v>
      </c>
      <c r="G17" s="198">
        <v>1511.4</v>
      </c>
      <c r="H17" s="198">
        <v>1603.8</v>
      </c>
      <c r="I17" s="198">
        <v>1685</v>
      </c>
      <c r="J17" s="198">
        <v>1712</v>
      </c>
      <c r="K17" s="198">
        <v>1690.2</v>
      </c>
      <c r="L17" s="198">
        <v>1702</v>
      </c>
      <c r="M17" s="116">
        <f>L17*(1+M18)</f>
        <v>1753.06</v>
      </c>
      <c r="N17" s="116">
        <f t="shared" ref="N17:Q17" si="6">M17*(1+N18)</f>
        <v>1788.1212</v>
      </c>
      <c r="O17" s="116">
        <f t="shared" si="6"/>
        <v>1814.9430179999999</v>
      </c>
      <c r="P17" s="116">
        <f t="shared" si="6"/>
        <v>1833.09244818</v>
      </c>
      <c r="Q17" s="116">
        <f t="shared" si="6"/>
        <v>1851.4233726617999</v>
      </c>
      <c r="R17" s="117"/>
      <c r="S17" s="117"/>
      <c r="T17" s="117"/>
      <c r="U17" s="118"/>
      <c r="V17" s="119"/>
      <c r="W17" s="119"/>
      <c r="X17" s="117"/>
      <c r="Y17" s="117"/>
      <c r="Z17" s="117"/>
      <c r="AA17" s="117"/>
      <c r="AB17" s="117"/>
      <c r="AC17" s="120"/>
    </row>
    <row r="18" spans="1:29" ht="15" outlineLevel="2" x14ac:dyDescent="0.15">
      <c r="A18" s="206" t="s">
        <v>272</v>
      </c>
      <c r="B18" s="115"/>
      <c r="C18" s="198"/>
      <c r="D18" s="207">
        <f>(D17-C17)/C17</f>
        <v>3.3679597467943516E-2</v>
      </c>
      <c r="E18" s="207">
        <f t="shared" ref="E18:L18" si="7">(E17-D17)/D17</f>
        <v>5.0953913794456983E-2</v>
      </c>
      <c r="F18" s="207">
        <f t="shared" si="7"/>
        <v>5.8643358733004636E-2</v>
      </c>
      <c r="G18" s="207">
        <f t="shared" si="7"/>
        <v>6.6544351139651528E-2</v>
      </c>
      <c r="H18" s="207">
        <f t="shared" si="7"/>
        <v>6.1135371179039208E-2</v>
      </c>
      <c r="I18" s="207">
        <f t="shared" si="7"/>
        <v>5.0629754333458066E-2</v>
      </c>
      <c r="J18" s="207">
        <f t="shared" si="7"/>
        <v>1.6023738872403562E-2</v>
      </c>
      <c r="K18" s="207">
        <f t="shared" si="7"/>
        <v>-1.2733644859813058E-2</v>
      </c>
      <c r="L18" s="207">
        <f t="shared" si="7"/>
        <v>6.9814223168855483E-3</v>
      </c>
      <c r="M18" s="123">
        <v>0.03</v>
      </c>
      <c r="N18" s="123">
        <v>0.02</v>
      </c>
      <c r="O18" s="123">
        <v>1.4999999999999999E-2</v>
      </c>
      <c r="P18" s="123">
        <v>0.01</v>
      </c>
      <c r="Q18" s="123">
        <v>0.01</v>
      </c>
      <c r="R18" s="117"/>
      <c r="S18" s="117"/>
      <c r="T18" s="117"/>
      <c r="U18" s="118"/>
      <c r="V18" s="119"/>
      <c r="W18" s="119"/>
      <c r="X18" s="117"/>
      <c r="Y18" s="117"/>
      <c r="Z18" s="117"/>
      <c r="AA18" s="117"/>
      <c r="AB18" s="117"/>
      <c r="AC18" s="120"/>
    </row>
    <row r="19" spans="1:29" ht="15" outlineLevel="2" collapsed="1" x14ac:dyDescent="0.15">
      <c r="A19" s="205" t="s">
        <v>271</v>
      </c>
      <c r="B19" s="115"/>
      <c r="C19" s="198">
        <v>1318.8</v>
      </c>
      <c r="D19" s="198">
        <v>1256.5999999999999</v>
      </c>
      <c r="E19" s="198">
        <v>1207.5999999999999</v>
      </c>
      <c r="F19" s="198">
        <v>1170.4000000000001</v>
      </c>
      <c r="G19" s="198">
        <v>1129.2</v>
      </c>
      <c r="H19" s="198">
        <v>1077.0999999999999</v>
      </c>
      <c r="I19" s="198">
        <v>1033.5</v>
      </c>
      <c r="J19" s="198">
        <v>994.4</v>
      </c>
      <c r="K19" s="198">
        <v>995.8</v>
      </c>
      <c r="L19" s="198">
        <v>944.3</v>
      </c>
      <c r="M19" s="252">
        <f>L19*(1+M20)</f>
        <v>944.3</v>
      </c>
      <c r="N19" s="252">
        <f t="shared" ref="N19:Q19" si="8">M19*(1+N20)</f>
        <v>944.3</v>
      </c>
      <c r="O19" s="252">
        <f t="shared" si="8"/>
        <v>944.3</v>
      </c>
      <c r="P19" s="252">
        <f t="shared" si="8"/>
        <v>944.3</v>
      </c>
      <c r="Q19" s="252">
        <f t="shared" si="8"/>
        <v>944.3</v>
      </c>
      <c r="R19" s="117"/>
      <c r="S19" s="117"/>
      <c r="T19" s="117"/>
      <c r="U19" s="118"/>
      <c r="V19" s="119"/>
      <c r="W19" s="119"/>
      <c r="X19" s="117"/>
      <c r="Y19" s="117"/>
      <c r="Z19" s="117"/>
      <c r="AA19" s="117"/>
      <c r="AB19" s="117"/>
      <c r="AC19" s="120"/>
    </row>
    <row r="20" spans="1:29" ht="15" outlineLevel="2" x14ac:dyDescent="0.15">
      <c r="A20" s="206" t="s">
        <v>272</v>
      </c>
      <c r="B20" s="115"/>
      <c r="C20" s="198"/>
      <c r="D20" s="207">
        <f>(D19-C19)/C19</f>
        <v>-4.7164088565362486E-2</v>
      </c>
      <c r="E20" s="207">
        <f t="shared" ref="E20:L20" si="9">(E19-D19)/D19</f>
        <v>-3.8994111093426709E-2</v>
      </c>
      <c r="F20" s="207">
        <f t="shared" si="9"/>
        <v>-3.0804902285524859E-2</v>
      </c>
      <c r="G20" s="207">
        <f t="shared" si="9"/>
        <v>-3.5201640464798394E-2</v>
      </c>
      <c r="H20" s="207">
        <f t="shared" si="9"/>
        <v>-4.6138859369465227E-2</v>
      </c>
      <c r="I20" s="207">
        <f t="shared" si="9"/>
        <v>-4.0479064153746087E-2</v>
      </c>
      <c r="J20" s="207">
        <f t="shared" si="9"/>
        <v>-3.7832607643928422E-2</v>
      </c>
      <c r="K20" s="207">
        <f t="shared" si="9"/>
        <v>1.4078841512469604E-3</v>
      </c>
      <c r="L20" s="207">
        <f t="shared" si="9"/>
        <v>-5.1717212291624827E-2</v>
      </c>
      <c r="M20" s="123">
        <v>0</v>
      </c>
      <c r="N20" s="123">
        <v>0</v>
      </c>
      <c r="O20" s="123">
        <v>0</v>
      </c>
      <c r="P20" s="123">
        <v>0</v>
      </c>
      <c r="Q20" s="123">
        <v>0</v>
      </c>
      <c r="R20" s="117"/>
      <c r="S20" s="117"/>
      <c r="T20" s="117"/>
      <c r="U20" s="118"/>
      <c r="V20" s="119"/>
      <c r="W20" s="119"/>
      <c r="X20" s="117"/>
      <c r="Y20" s="117"/>
      <c r="Z20" s="117"/>
      <c r="AA20" s="117"/>
      <c r="AB20" s="117"/>
      <c r="AC20" s="120"/>
    </row>
    <row r="21" spans="1:29" outlineLevel="2" x14ac:dyDescent="0.15">
      <c r="A21" s="206"/>
      <c r="B21" s="115"/>
      <c r="C21" s="198"/>
      <c r="D21" s="207"/>
      <c r="E21" s="207"/>
      <c r="F21" s="207"/>
      <c r="G21" s="207"/>
      <c r="H21" s="207"/>
      <c r="I21" s="207"/>
      <c r="J21" s="207"/>
      <c r="K21" s="207"/>
      <c r="L21" s="207"/>
      <c r="M21" s="123"/>
      <c r="N21" s="123"/>
      <c r="O21" s="123"/>
      <c r="P21" s="117"/>
      <c r="Q21" s="117"/>
      <c r="R21" s="117"/>
      <c r="S21" s="117"/>
      <c r="T21" s="117"/>
      <c r="U21" s="118"/>
      <c r="V21" s="119"/>
      <c r="W21" s="119"/>
      <c r="X21" s="117"/>
      <c r="Y21" s="117"/>
      <c r="Z21" s="117"/>
      <c r="AA21" s="117"/>
      <c r="AB21" s="117"/>
      <c r="AC21" s="120"/>
    </row>
    <row r="22" spans="1:29" ht="15" outlineLevel="2" x14ac:dyDescent="0.15">
      <c r="A22" s="202" t="s">
        <v>260</v>
      </c>
      <c r="B22" s="122"/>
      <c r="C22" s="197">
        <v>2514.5</v>
      </c>
      <c r="D22" s="197">
        <v>2521.7999999999997</v>
      </c>
      <c r="E22" s="197">
        <v>2469.7999999999997</v>
      </c>
      <c r="F22" s="197">
        <v>2513.6999999999998</v>
      </c>
      <c r="G22" s="197">
        <v>2500.1</v>
      </c>
      <c r="H22" s="197">
        <v>2431.6999999999998</v>
      </c>
      <c r="I22" s="197">
        <v>2437.4</v>
      </c>
      <c r="J22" s="197">
        <v>3559.7999999999997</v>
      </c>
      <c r="K22" s="197">
        <v>2289.8999999999996</v>
      </c>
      <c r="L22" s="197">
        <v>2106.5</v>
      </c>
      <c r="M22" s="252">
        <f>M24*M151</f>
        <v>2166.9448393244011</v>
      </c>
      <c r="N22" s="252">
        <f>N24*N151</f>
        <v>2231.3760787422843</v>
      </c>
      <c r="O22" s="252">
        <f>O24*O151</f>
        <v>2328.2519698918363</v>
      </c>
      <c r="P22" s="252">
        <f>P24*P151</f>
        <v>2424.1799687525972</v>
      </c>
      <c r="Q22" s="252">
        <f>Q24*Q151</f>
        <v>2514.2968967971424</v>
      </c>
      <c r="R22" s="117"/>
      <c r="S22" s="117"/>
      <c r="T22" s="117"/>
      <c r="U22" s="118"/>
      <c r="V22" s="119"/>
      <c r="W22" s="119"/>
      <c r="X22" s="117"/>
      <c r="Y22" s="117"/>
      <c r="Z22" s="117"/>
      <c r="AA22" s="117"/>
      <c r="AB22" s="117"/>
      <c r="AC22" s="120"/>
    </row>
    <row r="23" spans="1:29" ht="15" outlineLevel="2" x14ac:dyDescent="0.15">
      <c r="A23" s="206" t="s">
        <v>272</v>
      </c>
      <c r="B23" s="115"/>
      <c r="C23" s="198"/>
      <c r="D23" s="207">
        <f>(D22-C22)/C22</f>
        <v>2.9031616623582134E-3</v>
      </c>
      <c r="E23" s="207">
        <f t="shared" ref="E23:Q23" si="10">(E22-D22)/D22</f>
        <v>-2.0620191926401778E-2</v>
      </c>
      <c r="F23" s="207">
        <f t="shared" si="10"/>
        <v>1.7774718600696453E-2</v>
      </c>
      <c r="G23" s="207">
        <f t="shared" si="10"/>
        <v>-5.4103512750128934E-3</v>
      </c>
      <c r="H23" s="207">
        <f t="shared" si="10"/>
        <v>-2.7358905643774287E-2</v>
      </c>
      <c r="I23" s="207">
        <f t="shared" si="10"/>
        <v>2.3440391495662596E-3</v>
      </c>
      <c r="J23" s="207">
        <f t="shared" si="10"/>
        <v>0.4604906867974069</v>
      </c>
      <c r="K23" s="207">
        <f t="shared" si="10"/>
        <v>-0.35673352435530092</v>
      </c>
      <c r="L23" s="207">
        <f t="shared" si="10"/>
        <v>-8.009083366085841E-2</v>
      </c>
      <c r="M23" s="224">
        <f t="shared" si="10"/>
        <v>2.8694440695182091E-2</v>
      </c>
      <c r="N23" s="224">
        <f t="shared" si="10"/>
        <v>2.9733677686955475E-2</v>
      </c>
      <c r="O23" s="224">
        <f t="shared" si="10"/>
        <v>4.3415313121110501E-2</v>
      </c>
      <c r="P23" s="224">
        <f t="shared" si="10"/>
        <v>4.1201725629901403E-2</v>
      </c>
      <c r="Q23" s="224">
        <f t="shared" si="10"/>
        <v>3.717419053293982E-2</v>
      </c>
      <c r="R23" s="117"/>
      <c r="S23" s="117"/>
      <c r="T23" s="117"/>
      <c r="U23" s="118"/>
      <c r="V23" s="119"/>
      <c r="W23" s="119"/>
      <c r="X23" s="117"/>
      <c r="Y23" s="117"/>
      <c r="Z23" s="117"/>
      <c r="AA23" s="117"/>
      <c r="AB23" s="117"/>
      <c r="AC23" s="120"/>
    </row>
    <row r="24" spans="1:29" ht="15" outlineLevel="2" x14ac:dyDescent="0.15">
      <c r="A24" s="206" t="s">
        <v>524</v>
      </c>
      <c r="B24" s="201"/>
      <c r="C24" s="292">
        <f t="shared" ref="C24:L24" si="11">C22/C151</f>
        <v>5.140560442728085E-2</v>
      </c>
      <c r="D24" s="292">
        <f t="shared" si="11"/>
        <v>4.8732883197996416E-2</v>
      </c>
      <c r="E24" s="292">
        <f t="shared" si="11"/>
        <v>4.9372597388837688E-2</v>
      </c>
      <c r="F24" s="292">
        <f t="shared" si="11"/>
        <v>4.9162052692207643E-2</v>
      </c>
      <c r="G24" s="292">
        <f t="shared" si="11"/>
        <v>4.7132569187844052E-2</v>
      </c>
      <c r="H24" s="292">
        <f t="shared" si="11"/>
        <v>4.7955336083742868E-2</v>
      </c>
      <c r="I24" s="292">
        <f t="shared" si="11"/>
        <v>4.371320094191241E-2</v>
      </c>
      <c r="J24" s="292">
        <f t="shared" si="11"/>
        <v>6.7569542646179537E-2</v>
      </c>
      <c r="K24" s="292">
        <f t="shared" si="11"/>
        <v>4.3909622763435678E-2</v>
      </c>
      <c r="L24" s="292">
        <f t="shared" si="11"/>
        <v>4.8190097524037856E-2</v>
      </c>
      <c r="M24" s="490">
        <f>L24</f>
        <v>4.8190097524037856E-2</v>
      </c>
      <c r="N24" s="490">
        <v>4.8000000000000001E-2</v>
      </c>
      <c r="O24" s="490">
        <v>4.8000000000000001E-2</v>
      </c>
      <c r="P24" s="490">
        <f>O24</f>
        <v>4.8000000000000001E-2</v>
      </c>
      <c r="Q24" s="490">
        <f t="shared" ref="Q24" si="12">P24</f>
        <v>4.8000000000000001E-2</v>
      </c>
      <c r="R24" s="117"/>
      <c r="S24" s="117"/>
      <c r="T24" s="117"/>
      <c r="U24" s="118"/>
      <c r="V24" s="119"/>
      <c r="W24" s="119"/>
      <c r="X24" s="117"/>
      <c r="Y24" s="117"/>
      <c r="Z24" s="117"/>
      <c r="AA24" s="117"/>
      <c r="AB24" s="117"/>
      <c r="AC24" s="120"/>
    </row>
    <row r="25" spans="1:29" ht="15" outlineLevel="2" x14ac:dyDescent="0.15">
      <c r="A25" s="206" t="s">
        <v>272</v>
      </c>
      <c r="B25" s="115"/>
      <c r="C25" s="198"/>
      <c r="D25" s="207">
        <f>(D24-C24)/C24</f>
        <v>-5.1992798432422029E-2</v>
      </c>
      <c r="E25" s="207">
        <f t="shared" ref="E25:K25" si="13">(E24-D24)/D24</f>
        <v>1.3126951431176022E-2</v>
      </c>
      <c r="F25" s="207">
        <f t="shared" si="13"/>
        <v>-4.2644038953811641E-3</v>
      </c>
      <c r="G25" s="207">
        <f t="shared" si="13"/>
        <v>-4.1281504600097205E-2</v>
      </c>
      <c r="H25" s="207">
        <f t="shared" si="13"/>
        <v>1.7456440632797408E-2</v>
      </c>
      <c r="I25" s="207">
        <f t="shared" si="13"/>
        <v>-8.8460127449061218E-2</v>
      </c>
      <c r="J25" s="207">
        <f t="shared" si="13"/>
        <v>0.54574684969806364</v>
      </c>
      <c r="K25" s="207">
        <f t="shared" si="13"/>
        <v>-0.35015657878041917</v>
      </c>
      <c r="L25" s="207">
        <f>(L24-K24)/K24</f>
        <v>9.7483751651963754E-2</v>
      </c>
      <c r="M25" s="224">
        <f t="shared" ref="M25:Q25" si="14">(M24-L24)/L24</f>
        <v>0</v>
      </c>
      <c r="N25" s="224">
        <f t="shared" si="14"/>
        <v>-3.9447424638024819E-3</v>
      </c>
      <c r="O25" s="224">
        <f t="shared" si="14"/>
        <v>0</v>
      </c>
      <c r="P25" s="224">
        <f t="shared" si="14"/>
        <v>0</v>
      </c>
      <c r="Q25" s="224">
        <f t="shared" si="14"/>
        <v>0</v>
      </c>
      <c r="R25" s="117"/>
      <c r="S25" s="117"/>
      <c r="T25" s="117"/>
      <c r="U25" s="118"/>
      <c r="V25" s="119"/>
      <c r="W25" s="119"/>
      <c r="X25" s="117"/>
      <c r="Y25" s="117"/>
      <c r="Z25" s="117"/>
      <c r="AA25" s="117"/>
      <c r="AB25" s="117"/>
      <c r="AC25" s="120"/>
    </row>
    <row r="26" spans="1:29" outlineLevel="2" x14ac:dyDescent="0.15">
      <c r="A26" s="206"/>
      <c r="B26" s="115"/>
      <c r="C26" s="198"/>
      <c r="D26" s="207"/>
      <c r="E26" s="207"/>
      <c r="F26" s="207"/>
      <c r="G26" s="207"/>
      <c r="H26" s="207"/>
      <c r="I26" s="207"/>
      <c r="J26" s="207"/>
      <c r="K26" s="207"/>
      <c r="L26" s="207"/>
      <c r="M26" s="491"/>
      <c r="N26" s="491"/>
      <c r="O26" s="491"/>
      <c r="P26" s="117"/>
      <c r="Q26" s="117"/>
      <c r="R26" s="117"/>
      <c r="S26" s="117"/>
      <c r="T26" s="117"/>
      <c r="U26" s="118"/>
      <c r="V26" s="119"/>
      <c r="W26" s="119"/>
      <c r="X26" s="117"/>
      <c r="Y26" s="117"/>
      <c r="Z26" s="117"/>
      <c r="AA26" s="117"/>
      <c r="AB26" s="117"/>
      <c r="AC26" s="120"/>
    </row>
    <row r="27" spans="1:29" outlineLevel="2" x14ac:dyDescent="0.15">
      <c r="A27" s="206"/>
      <c r="B27" s="115"/>
      <c r="C27" s="198"/>
      <c r="D27" s="207"/>
      <c r="E27" s="207"/>
      <c r="F27" s="207"/>
      <c r="G27" s="207"/>
      <c r="H27" s="207"/>
      <c r="I27" s="207"/>
      <c r="J27" s="207"/>
      <c r="K27" s="207"/>
      <c r="L27" s="207"/>
      <c r="M27" s="123"/>
      <c r="N27" s="123"/>
      <c r="O27" s="123"/>
      <c r="P27" s="117"/>
      <c r="Q27" s="117"/>
      <c r="R27" s="117"/>
      <c r="S27" s="117"/>
      <c r="T27" s="117"/>
      <c r="U27" s="118"/>
      <c r="V27" s="119"/>
      <c r="W27" s="119"/>
      <c r="X27" s="117"/>
      <c r="Y27" s="117"/>
      <c r="Z27" s="117"/>
      <c r="AA27" s="117"/>
      <c r="AB27" s="117"/>
      <c r="AC27" s="120"/>
    </row>
    <row r="28" spans="1:29" ht="15" outlineLevel="2" x14ac:dyDescent="0.15">
      <c r="A28" s="202" t="s">
        <v>261</v>
      </c>
      <c r="B28" s="124"/>
      <c r="C28" s="199">
        <v>229.39999999999998</v>
      </c>
      <c r="D28" s="199">
        <v>205.5</v>
      </c>
      <c r="E28" s="199">
        <v>179.1</v>
      </c>
      <c r="F28" s="199">
        <v>175.1</v>
      </c>
      <c r="G28" s="199">
        <v>189.6</v>
      </c>
      <c r="H28" s="199">
        <v>180.7</v>
      </c>
      <c r="I28" s="199">
        <v>195.89999999999998</v>
      </c>
      <c r="J28" s="199">
        <v>224.2</v>
      </c>
      <c r="K28" s="199">
        <v>242.9</v>
      </c>
      <c r="L28" s="199">
        <v>261.10000000000002</v>
      </c>
      <c r="M28" s="134">
        <f>M30*M11</f>
        <v>244.78226193147481</v>
      </c>
      <c r="N28" s="134">
        <f t="shared" ref="N28:Q28" si="15">N30*N11</f>
        <v>292.23719370175957</v>
      </c>
      <c r="O28" s="134">
        <f t="shared" si="15"/>
        <v>305.50377628203944</v>
      </c>
      <c r="P28" s="134">
        <f t="shared" si="15"/>
        <v>308.26406307130492</v>
      </c>
      <c r="Q28" s="134">
        <f t="shared" si="15"/>
        <v>304.30559081407296</v>
      </c>
      <c r="R28" s="117"/>
      <c r="S28" s="117"/>
      <c r="T28" s="117"/>
      <c r="U28" s="118"/>
      <c r="V28" s="119"/>
      <c r="W28" s="119"/>
      <c r="X28" s="117"/>
      <c r="Y28" s="117"/>
      <c r="Z28" s="117"/>
      <c r="AA28" s="117"/>
      <c r="AB28" s="117"/>
      <c r="AC28" s="120"/>
    </row>
    <row r="29" spans="1:29" ht="15" outlineLevel="2" x14ac:dyDescent="0.15">
      <c r="A29" s="206" t="s">
        <v>272</v>
      </c>
      <c r="B29" s="115"/>
      <c r="C29" s="198"/>
      <c r="D29" s="207">
        <f>(D28-C28)/C28</f>
        <v>-0.10418482999128152</v>
      </c>
      <c r="E29" s="207">
        <f t="shared" ref="E29:L29" si="16">(E28-D28)/D28</f>
        <v>-0.12846715328467156</v>
      </c>
      <c r="F29" s="207">
        <f t="shared" si="16"/>
        <v>-2.2333891680625349E-2</v>
      </c>
      <c r="G29" s="207">
        <f t="shared" si="16"/>
        <v>8.2809822958309534E-2</v>
      </c>
      <c r="H29" s="207">
        <f t="shared" si="16"/>
        <v>-4.6940928270042225E-2</v>
      </c>
      <c r="I29" s="207">
        <f t="shared" si="16"/>
        <v>8.4117321527393416E-2</v>
      </c>
      <c r="J29" s="207">
        <f t="shared" si="16"/>
        <v>0.14446145992853504</v>
      </c>
      <c r="K29" s="207">
        <f t="shared" si="16"/>
        <v>8.3407671721677151E-2</v>
      </c>
      <c r="L29" s="207">
        <f t="shared" si="16"/>
        <v>7.4927953890489979E-2</v>
      </c>
      <c r="M29" s="492">
        <v>0.02</v>
      </c>
      <c r="N29" s="492">
        <v>0</v>
      </c>
      <c r="O29" s="492">
        <v>0</v>
      </c>
      <c r="P29" s="492">
        <v>0</v>
      </c>
      <c r="Q29" s="492">
        <v>0</v>
      </c>
      <c r="R29" s="117"/>
      <c r="S29" s="117"/>
      <c r="T29" s="117"/>
      <c r="U29" s="118"/>
      <c r="V29" s="119"/>
      <c r="W29" s="119"/>
      <c r="X29" s="117"/>
      <c r="Y29" s="117"/>
      <c r="Z29" s="117"/>
      <c r="AA29" s="117"/>
      <c r="AB29" s="117"/>
      <c r="AC29" s="120"/>
    </row>
    <row r="30" spans="1:29" ht="15" outlineLevel="2" x14ac:dyDescent="0.15">
      <c r="A30" s="206" t="s">
        <v>525</v>
      </c>
      <c r="B30" s="201"/>
      <c r="C30" s="292">
        <f>C28/C11</f>
        <v>3.0086429630018226E-2</v>
      </c>
      <c r="D30" s="292">
        <f t="shared" ref="D30:L30" si="17">D28/D11</f>
        <v>2.6355614836095009E-2</v>
      </c>
      <c r="E30" s="292">
        <f t="shared" si="17"/>
        <v>2.2159259625853706E-2</v>
      </c>
      <c r="F30" s="292">
        <f t="shared" si="17"/>
        <v>2.0950740036134341E-2</v>
      </c>
      <c r="G30" s="292">
        <f t="shared" si="17"/>
        <v>2.2053948424468714E-2</v>
      </c>
      <c r="H30" s="292">
        <f t="shared" si="17"/>
        <v>2.0108834755900779E-2</v>
      </c>
      <c r="I30" s="292">
        <f t="shared" si="17"/>
        <v>2.0916972751345346E-2</v>
      </c>
      <c r="J30" s="292">
        <f t="shared" si="17"/>
        <v>2.390676149753148E-2</v>
      </c>
      <c r="K30" s="292">
        <f t="shared" si="17"/>
        <v>2.5619660373378338E-2</v>
      </c>
      <c r="L30" s="292">
        <f t="shared" si="17"/>
        <v>2.7131782945736437E-2</v>
      </c>
      <c r="M30" s="490">
        <f>AVERAGE(I30:L30)</f>
        <v>2.4393794391997899E-2</v>
      </c>
      <c r="N30" s="490">
        <f t="shared" ref="N30:Q30" si="18">AVERAGE(J30:M30)</f>
        <v>2.526299980216104E-2</v>
      </c>
      <c r="O30" s="490">
        <f t="shared" si="18"/>
        <v>2.5602059378318429E-2</v>
      </c>
      <c r="P30" s="490">
        <f t="shared" si="18"/>
        <v>2.559765912955345E-2</v>
      </c>
      <c r="Q30" s="490">
        <f t="shared" si="18"/>
        <v>2.5214128175507704E-2</v>
      </c>
      <c r="R30" s="117"/>
      <c r="S30" s="117"/>
      <c r="T30" s="117"/>
      <c r="U30" s="118"/>
      <c r="V30" s="119"/>
      <c r="W30" s="119"/>
      <c r="X30" s="117"/>
      <c r="Y30" s="117"/>
      <c r="Z30" s="117"/>
      <c r="AA30" s="117"/>
      <c r="AB30" s="117"/>
      <c r="AC30" s="120"/>
    </row>
    <row r="31" spans="1:29" ht="15" outlineLevel="2" x14ac:dyDescent="0.15">
      <c r="A31" s="206" t="s">
        <v>272</v>
      </c>
      <c r="B31" s="115"/>
      <c r="C31" s="198"/>
      <c r="D31" s="207">
        <f t="shared" ref="D31:L31" si="19">(D30-C30)/C30</f>
        <v>-0.12400324132182372</v>
      </c>
      <c r="E31" s="207">
        <f t="shared" si="19"/>
        <v>-0.15922053939315564</v>
      </c>
      <c r="F31" s="207">
        <f t="shared" si="19"/>
        <v>-5.4537904700992727E-2</v>
      </c>
      <c r="G31" s="207">
        <f t="shared" si="19"/>
        <v>5.2657251554438546E-2</v>
      </c>
      <c r="H31" s="207">
        <f t="shared" si="19"/>
        <v>-8.8197978481252104E-2</v>
      </c>
      <c r="I31" s="207">
        <f t="shared" si="19"/>
        <v>4.0188206092221519E-2</v>
      </c>
      <c r="J31" s="207">
        <f t="shared" si="19"/>
        <v>0.14293601572884562</v>
      </c>
      <c r="K31" s="207">
        <f t="shared" si="19"/>
        <v>7.164913892765129E-2</v>
      </c>
      <c r="L31" s="207">
        <f t="shared" si="19"/>
        <v>5.9021960100976288E-2</v>
      </c>
      <c r="M31" s="492">
        <v>0</v>
      </c>
      <c r="N31" s="492">
        <v>0</v>
      </c>
      <c r="O31" s="492">
        <v>0</v>
      </c>
      <c r="P31" s="492">
        <v>0</v>
      </c>
      <c r="Q31" s="492">
        <v>0</v>
      </c>
      <c r="R31" s="117"/>
      <c r="S31" s="117"/>
      <c r="T31" s="117"/>
      <c r="U31" s="118"/>
      <c r="V31" s="119"/>
      <c r="W31" s="119"/>
      <c r="X31" s="117"/>
      <c r="Y31" s="117"/>
      <c r="Z31" s="117"/>
      <c r="AA31" s="117"/>
      <c r="AB31" s="117"/>
      <c r="AC31" s="120"/>
    </row>
    <row r="32" spans="1:29" outlineLevel="2" x14ac:dyDescent="0.15">
      <c r="A32" s="206"/>
      <c r="B32" s="115"/>
      <c r="C32" s="198"/>
      <c r="D32" s="207"/>
      <c r="E32" s="207"/>
      <c r="F32" s="207"/>
      <c r="G32" s="207"/>
      <c r="H32" s="207"/>
      <c r="I32" s="207"/>
      <c r="J32" s="207"/>
      <c r="K32" s="207"/>
      <c r="L32" s="207"/>
      <c r="M32" s="123"/>
      <c r="N32" s="123"/>
      <c r="O32" s="123"/>
      <c r="P32" s="117"/>
      <c r="Q32" s="117"/>
      <c r="R32" s="117"/>
      <c r="S32" s="117"/>
      <c r="T32" s="117"/>
      <c r="U32" s="118"/>
      <c r="V32" s="119"/>
      <c r="W32" s="119"/>
      <c r="X32" s="117"/>
      <c r="Y32" s="117"/>
      <c r="Z32" s="117"/>
      <c r="AA32" s="117"/>
      <c r="AB32" s="117"/>
      <c r="AC32" s="120"/>
    </row>
    <row r="34" spans="1:29" outlineLevel="2" x14ac:dyDescent="0.15">
      <c r="A34" s="125"/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9"/>
      <c r="N34" s="129"/>
      <c r="O34" s="129"/>
      <c r="P34" s="117"/>
      <c r="Q34" s="117"/>
      <c r="R34" s="117"/>
      <c r="S34" s="117"/>
      <c r="T34" s="117"/>
      <c r="U34" s="118"/>
      <c r="V34" s="119"/>
      <c r="W34" s="119"/>
      <c r="X34" s="117"/>
      <c r="Y34" s="117"/>
      <c r="Z34" s="117"/>
      <c r="AA34" s="117"/>
      <c r="AB34" s="117"/>
      <c r="AC34" s="120"/>
    </row>
    <row r="35" spans="1:29" outlineLevel="2" x14ac:dyDescent="0.15">
      <c r="B35" s="11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29"/>
      <c r="N35" s="129"/>
      <c r="O35" s="129"/>
      <c r="P35" s="117"/>
      <c r="Q35" s="117"/>
      <c r="R35" s="117"/>
      <c r="S35" s="117"/>
      <c r="T35" s="117"/>
      <c r="U35" s="118"/>
      <c r="V35" s="119"/>
      <c r="W35" s="119"/>
      <c r="X35" s="117"/>
      <c r="Y35" s="117"/>
      <c r="Z35" s="117"/>
      <c r="AA35" s="117"/>
      <c r="AB35" s="117"/>
      <c r="AC35" s="120"/>
    </row>
    <row r="36" spans="1:29" outlineLevel="2" x14ac:dyDescent="0.15">
      <c r="B36" s="111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9"/>
      <c r="N36" s="129"/>
      <c r="O36" s="129"/>
      <c r="P36" s="117"/>
      <c r="Q36" s="117"/>
      <c r="R36" s="117"/>
      <c r="S36" s="117"/>
      <c r="T36" s="117"/>
      <c r="U36" s="118"/>
      <c r="V36" s="119"/>
      <c r="W36" s="119"/>
      <c r="X36" s="117"/>
      <c r="Y36" s="117"/>
      <c r="Z36" s="117"/>
      <c r="AA36" s="117"/>
      <c r="AB36" s="117"/>
      <c r="AC36" s="120"/>
    </row>
    <row r="37" spans="1:29" outlineLevel="2" x14ac:dyDescent="0.15">
      <c r="A37" s="125" t="s">
        <v>73</v>
      </c>
      <c r="B37" s="126" t="e">
        <f>B22+#REF!+#REF!</f>
        <v>#REF!</v>
      </c>
      <c r="C37" s="111">
        <f t="shared" ref="C37:L37" si="20">C28+C22+C11</f>
        <v>10368.6</v>
      </c>
      <c r="D37" s="111">
        <f t="shared" si="20"/>
        <v>10524.5</v>
      </c>
      <c r="E37" s="111">
        <f t="shared" si="20"/>
        <v>10731.3</v>
      </c>
      <c r="F37" s="111">
        <f t="shared" si="20"/>
        <v>11046.5</v>
      </c>
      <c r="G37" s="111">
        <f t="shared" si="20"/>
        <v>11286.8</v>
      </c>
      <c r="H37" s="111">
        <f t="shared" si="20"/>
        <v>11598.5</v>
      </c>
      <c r="I37" s="111">
        <f t="shared" si="20"/>
        <v>11998.900000000001</v>
      </c>
      <c r="J37" s="111">
        <f t="shared" si="20"/>
        <v>13162.1</v>
      </c>
      <c r="K37" s="111">
        <f t="shared" si="20"/>
        <v>12013.8</v>
      </c>
      <c r="L37" s="111">
        <f t="shared" si="20"/>
        <v>11991</v>
      </c>
      <c r="M37" s="111">
        <f>M28+M11+M22</f>
        <v>12446.339101255875</v>
      </c>
      <c r="N37" s="111">
        <f>N28+N11+N22</f>
        <v>14091.407912444043</v>
      </c>
      <c r="O37" s="111">
        <f t="shared" ref="O37:Q37" si="21">O28+O11+O22</f>
        <v>14566.537080973876</v>
      </c>
      <c r="P37" s="111">
        <f t="shared" si="21"/>
        <v>14775.1101799719</v>
      </c>
      <c r="Q37" s="111">
        <f t="shared" si="21"/>
        <v>14887.454866559096</v>
      </c>
      <c r="R37" s="117"/>
      <c r="S37" s="117"/>
      <c r="T37" s="117"/>
      <c r="U37" s="118"/>
      <c r="V37" s="119"/>
      <c r="W37" s="119"/>
      <c r="X37" s="117"/>
      <c r="Y37" s="117"/>
      <c r="Z37" s="117"/>
      <c r="AA37" s="117"/>
      <c r="AB37" s="117"/>
      <c r="AC37" s="120"/>
    </row>
    <row r="38" spans="1:29" outlineLevel="2" collapsed="1" x14ac:dyDescent="0.15">
      <c r="A38" s="128" t="s">
        <v>74</v>
      </c>
      <c r="C38" s="138"/>
      <c r="D38" s="138">
        <f t="shared" ref="D38:L38" si="22">D37/C37-1</f>
        <v>1.5035781108346358E-2</v>
      </c>
      <c r="E38" s="138">
        <f t="shared" si="22"/>
        <v>1.9649389519692084E-2</v>
      </c>
      <c r="F38" s="138">
        <f t="shared" si="22"/>
        <v>2.9372023892725085E-2</v>
      </c>
      <c r="G38" s="138">
        <f t="shared" si="22"/>
        <v>2.1753496582627818E-2</v>
      </c>
      <c r="H38" s="138">
        <f t="shared" si="22"/>
        <v>2.7616330580855664E-2</v>
      </c>
      <c r="I38" s="138">
        <f t="shared" si="22"/>
        <v>3.4521705392938973E-2</v>
      </c>
      <c r="J38" s="138">
        <f t="shared" si="22"/>
        <v>9.694221970347261E-2</v>
      </c>
      <c r="K38" s="138">
        <f t="shared" si="22"/>
        <v>-8.7242917163674605E-2</v>
      </c>
      <c r="L38" s="138">
        <f t="shared" si="22"/>
        <v>-1.8978175098636196E-3</v>
      </c>
      <c r="M38" s="138">
        <f>M37/L37-1</f>
        <v>3.7973405158525209E-2</v>
      </c>
      <c r="N38" s="138">
        <f t="shared" ref="N38:Q38" si="23">N37/M37-1</f>
        <v>0.13217290625017397</v>
      </c>
      <c r="O38" s="138">
        <f t="shared" si="23"/>
        <v>3.3717650605391114E-2</v>
      </c>
      <c r="P38" s="138">
        <f t="shared" si="23"/>
        <v>1.4318646761312337E-2</v>
      </c>
      <c r="Q38" s="138">
        <f t="shared" si="23"/>
        <v>7.6036445900404814E-3</v>
      </c>
      <c r="R38" s="117"/>
      <c r="S38" s="117"/>
      <c r="T38" s="117"/>
      <c r="U38" s="118"/>
      <c r="V38" s="119" t="s">
        <v>78</v>
      </c>
      <c r="W38" s="119" t="s">
        <v>79</v>
      </c>
      <c r="X38" s="117" cm="1">
        <f t="array" ref="X38">_xll.FDSC("--",$A$1,""&amp;$V38&amp;"("&amp;$W38&amp;","&amp;D$2&amp;",ANNUAL_ROLL,+1,0,,,'CURRENCY="&amp;$E$1&amp;"')")</f>
        <v>12409.291999999999</v>
      </c>
      <c r="Y38" s="117" cm="1">
        <f t="array" ref="Y38">_xll.FDSC("--",$A$1,""&amp;$V38&amp;"("&amp;$W38&amp;","&amp;D$2&amp;",ANNUAL_ROLL,+2,0,,,'CURRENCY="&amp;$E$1&amp;"')")</f>
        <v>12843.692999999999</v>
      </c>
      <c r="Z38" s="117" cm="1">
        <f t="array" ref="Z38">_xll.FDSC("--",$A$1,""&amp;$V38&amp;"("&amp;$W38&amp;","&amp;D$2&amp;",ANNUAL_ROLL,+3,0,,,'CURRENCY="&amp;$E$1&amp;"')")</f>
        <v>13270.742</v>
      </c>
      <c r="AA38" s="117"/>
      <c r="AB38" s="117"/>
      <c r="AC38" s="120"/>
    </row>
    <row r="39" spans="1:29" outlineLevel="2" x14ac:dyDescent="0.15">
      <c r="A39" s="132"/>
      <c r="B39" s="110"/>
      <c r="C39" s="127"/>
      <c r="D39" s="127"/>
      <c r="E39" s="111"/>
      <c r="F39" s="111"/>
      <c r="G39" s="111"/>
      <c r="H39" s="111"/>
      <c r="I39" s="111"/>
      <c r="J39" s="111"/>
      <c r="K39" s="111"/>
      <c r="L39" s="111"/>
      <c r="M39" s="126"/>
      <c r="N39" s="126"/>
      <c r="O39" s="126"/>
      <c r="P39" s="117"/>
      <c r="Q39" s="117"/>
      <c r="R39" s="117"/>
      <c r="S39" s="117"/>
      <c r="T39" s="117"/>
      <c r="U39" s="118"/>
      <c r="V39" s="119"/>
      <c r="W39" s="119"/>
      <c r="X39" s="117"/>
      <c r="Y39" s="117"/>
      <c r="Z39" s="117"/>
      <c r="AA39" s="117"/>
      <c r="AB39" s="117"/>
      <c r="AC39" s="120"/>
    </row>
    <row r="40" spans="1:29" outlineLevel="2" x14ac:dyDescent="0.15">
      <c r="A40" s="125" t="s">
        <v>75</v>
      </c>
      <c r="B40" s="133" t="e">
        <f>B43-B37</f>
        <v>#REF!</v>
      </c>
      <c r="C40" s="134">
        <f>C37-C43</f>
        <v>14.800000000001091</v>
      </c>
      <c r="D40" s="134">
        <f t="shared" ref="D40:L40" si="24">D37-D43</f>
        <v>14.799999999999272</v>
      </c>
      <c r="E40" s="134">
        <f t="shared" si="24"/>
        <v>0</v>
      </c>
      <c r="F40" s="134">
        <f t="shared" si="24"/>
        <v>0</v>
      </c>
      <c r="G40" s="134">
        <f t="shared" si="24"/>
        <v>0</v>
      </c>
      <c r="H40" s="134">
        <f t="shared" si="24"/>
        <v>0</v>
      </c>
      <c r="I40" s="134">
        <f t="shared" si="24"/>
        <v>0</v>
      </c>
      <c r="J40" s="134">
        <f t="shared" si="24"/>
        <v>0</v>
      </c>
      <c r="K40" s="134">
        <f t="shared" si="24"/>
        <v>0</v>
      </c>
      <c r="L40" s="134">
        <f t="shared" si="24"/>
        <v>0</v>
      </c>
      <c r="M40" s="129"/>
      <c r="N40" s="129"/>
      <c r="O40" s="129"/>
      <c r="P40" s="117"/>
      <c r="Q40" s="117"/>
      <c r="R40" s="117"/>
      <c r="S40" s="117"/>
      <c r="T40" s="117"/>
      <c r="U40" s="118"/>
      <c r="V40" s="119"/>
      <c r="W40" s="119"/>
      <c r="X40" s="117"/>
      <c r="Y40" s="117"/>
      <c r="Z40" s="117"/>
      <c r="AA40" s="117"/>
      <c r="AB40" s="117"/>
      <c r="AC40" s="120"/>
    </row>
    <row r="41" spans="1:29" outlineLevel="2" x14ac:dyDescent="0.15">
      <c r="A41" s="128" t="s">
        <v>76</v>
      </c>
      <c r="B41" s="135" t="e">
        <f>B40/B$37</f>
        <v>#REF!</v>
      </c>
      <c r="C41" s="136">
        <f>C40/C37</f>
        <v>1.4273865324152819E-3</v>
      </c>
      <c r="D41" s="136">
        <f t="shared" ref="D41:L41" si="25">D40/D37</f>
        <v>1.4062425768444366E-3</v>
      </c>
      <c r="E41" s="136">
        <f t="shared" si="25"/>
        <v>0</v>
      </c>
      <c r="F41" s="136">
        <f t="shared" si="25"/>
        <v>0</v>
      </c>
      <c r="G41" s="136">
        <f t="shared" si="25"/>
        <v>0</v>
      </c>
      <c r="H41" s="136">
        <f t="shared" si="25"/>
        <v>0</v>
      </c>
      <c r="I41" s="136">
        <f t="shared" si="25"/>
        <v>0</v>
      </c>
      <c r="J41" s="136">
        <f t="shared" si="25"/>
        <v>0</v>
      </c>
      <c r="K41" s="136">
        <f t="shared" si="25"/>
        <v>0</v>
      </c>
      <c r="L41" s="136">
        <f t="shared" si="25"/>
        <v>0</v>
      </c>
      <c r="M41" s="129"/>
      <c r="N41" s="129"/>
      <c r="O41" s="111"/>
      <c r="P41" s="117"/>
      <c r="Q41" s="117"/>
      <c r="R41" s="117"/>
      <c r="S41" s="117"/>
      <c r="T41" s="117"/>
      <c r="U41" s="118"/>
      <c r="V41" s="119"/>
      <c r="W41" s="119"/>
      <c r="X41" s="117"/>
      <c r="Y41" s="117"/>
      <c r="Z41" s="117"/>
      <c r="AA41" s="117"/>
      <c r="AB41" s="117"/>
      <c r="AC41" s="120"/>
    </row>
    <row r="42" spans="1:29" outlineLevel="2" x14ac:dyDescent="0.15">
      <c r="A42" s="125"/>
      <c r="B42" s="127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1"/>
      <c r="N42" s="131"/>
      <c r="O42" s="111"/>
      <c r="P42" s="111"/>
      <c r="Q42" s="111"/>
      <c r="R42" s="111"/>
      <c r="S42" s="111"/>
      <c r="T42" s="111"/>
      <c r="V42" s="119"/>
      <c r="W42" s="119"/>
      <c r="X42" s="117"/>
      <c r="Y42" s="117"/>
      <c r="Z42" s="117"/>
      <c r="AA42" s="117"/>
    </row>
    <row r="43" spans="1:29" outlineLevel="2" x14ac:dyDescent="0.15">
      <c r="A43" s="125" t="s">
        <v>77</v>
      </c>
      <c r="B43" s="137">
        <f>'Broker Actual'!E11</f>
        <v>10515.4</v>
      </c>
      <c r="C43" s="137">
        <f>'Broker Actual'!F11</f>
        <v>10353.799999999999</v>
      </c>
      <c r="D43" s="137">
        <f>'Broker Actual'!G11</f>
        <v>10509.7</v>
      </c>
      <c r="E43" s="137">
        <f>'Broker Actual'!H11</f>
        <v>10731.3</v>
      </c>
      <c r="F43" s="137">
        <f>'Broker Actual'!I11</f>
        <v>11046.5</v>
      </c>
      <c r="G43" s="137">
        <f>'Broker Actual'!J11</f>
        <v>11286.8</v>
      </c>
      <c r="H43" s="137">
        <f>'Broker Actual'!K11</f>
        <v>11598.5</v>
      </c>
      <c r="I43" s="137">
        <f>'Broker Actual'!L11</f>
        <v>11998.9</v>
      </c>
      <c r="J43" s="137">
        <f>'Broker Actual'!M11</f>
        <v>13162.1</v>
      </c>
      <c r="K43" s="137">
        <f>'Broker Actual'!N11</f>
        <v>12013.8</v>
      </c>
      <c r="L43" s="137">
        <f>'Broker Actual'!O11</f>
        <v>11991</v>
      </c>
      <c r="N43" s="77"/>
      <c r="T43" s="78"/>
      <c r="U43" s="435"/>
      <c r="V43" s="119"/>
      <c r="W43" s="119"/>
      <c r="X43" s="117"/>
      <c r="Y43" s="117"/>
      <c r="Z43" s="117"/>
      <c r="AA43" s="117"/>
      <c r="AB43" s="78"/>
      <c r="AC43" s="78"/>
    </row>
    <row r="44" spans="1:29" outlineLevel="2" x14ac:dyDescent="0.15">
      <c r="A44" s="128" t="s">
        <v>74</v>
      </c>
      <c r="C44" s="138">
        <f>C43/B43-1</f>
        <v>-1.5367936550202632E-2</v>
      </c>
      <c r="D44" s="138">
        <f t="shared" ref="D44:L44" si="26">D43/C43-1</f>
        <v>1.5057273657980819E-2</v>
      </c>
      <c r="E44" s="138">
        <f t="shared" si="26"/>
        <v>2.1085283119403941E-2</v>
      </c>
      <c r="F44" s="138">
        <f t="shared" si="26"/>
        <v>2.9372023892725085E-2</v>
      </c>
      <c r="G44" s="138">
        <f t="shared" si="26"/>
        <v>2.1753496582627818E-2</v>
      </c>
      <c r="H44" s="138">
        <f t="shared" si="26"/>
        <v>2.7616330580855664E-2</v>
      </c>
      <c r="I44" s="138">
        <f t="shared" si="26"/>
        <v>3.4521705392938751E-2</v>
      </c>
      <c r="J44" s="138">
        <f t="shared" si="26"/>
        <v>9.6942219703472832E-2</v>
      </c>
      <c r="K44" s="138">
        <f t="shared" si="26"/>
        <v>-8.7242917163674605E-2</v>
      </c>
      <c r="L44" s="138">
        <f t="shared" si="26"/>
        <v>-1.8978175098636196E-3</v>
      </c>
      <c r="M44" s="298"/>
      <c r="N44" s="126"/>
      <c r="O44" s="126"/>
      <c r="P44" s="117"/>
      <c r="Q44" s="117"/>
      <c r="R44" s="117"/>
      <c r="S44" s="117"/>
      <c r="T44" s="117"/>
      <c r="U44" s="118"/>
      <c r="V44" s="119"/>
      <c r="W44" s="119"/>
      <c r="X44" s="117"/>
      <c r="Y44" s="117"/>
      <c r="Z44" s="117"/>
      <c r="AA44" s="117"/>
      <c r="AB44" s="117"/>
      <c r="AC44" s="120"/>
    </row>
    <row r="45" spans="1:29" outlineLevel="2" collapsed="1" x14ac:dyDescent="0.15">
      <c r="A45" s="12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17"/>
      <c r="Q45" s="117"/>
      <c r="R45" s="117"/>
      <c r="S45" s="117"/>
      <c r="T45" s="117"/>
      <c r="U45" s="118"/>
      <c r="V45" s="119"/>
      <c r="W45" s="119"/>
      <c r="X45" s="117"/>
      <c r="Y45" s="117"/>
      <c r="Z45" s="117"/>
      <c r="AA45" s="117"/>
      <c r="AB45" s="117"/>
      <c r="AC45" s="120"/>
    </row>
    <row r="46" spans="1:29" outlineLevel="2" x14ac:dyDescent="0.15">
      <c r="A46" s="78" t="str">
        <f>"Reconcile "&amp;A49&amp;" with"&amp;" above"</f>
        <v>Reconcile Revenue (Historical Data: Broker Actual) with above</v>
      </c>
      <c r="B46" s="139">
        <f t="shared" ref="B46:L46" si="27">B49-B43</f>
        <v>0</v>
      </c>
      <c r="C46" s="139">
        <f>C49-C43</f>
        <v>0</v>
      </c>
      <c r="D46" s="139">
        <f t="shared" si="27"/>
        <v>0</v>
      </c>
      <c r="E46" s="139">
        <f t="shared" si="27"/>
        <v>0</v>
      </c>
      <c r="F46" s="139">
        <f t="shared" si="27"/>
        <v>0</v>
      </c>
      <c r="G46" s="139">
        <f t="shared" si="27"/>
        <v>0</v>
      </c>
      <c r="H46" s="139">
        <f t="shared" si="27"/>
        <v>0</v>
      </c>
      <c r="I46" s="139">
        <f t="shared" si="27"/>
        <v>0</v>
      </c>
      <c r="J46" s="139">
        <f t="shared" si="27"/>
        <v>0</v>
      </c>
      <c r="K46" s="139">
        <f t="shared" si="27"/>
        <v>0</v>
      </c>
      <c r="L46" s="139">
        <f t="shared" si="27"/>
        <v>0</v>
      </c>
      <c r="M46" s="141"/>
      <c r="N46" s="141"/>
      <c r="O46" s="141"/>
      <c r="P46" s="111"/>
      <c r="Q46" s="111"/>
      <c r="R46" s="111"/>
      <c r="S46" s="111"/>
      <c r="T46" s="111"/>
      <c r="V46" s="119"/>
      <c r="W46" s="119"/>
      <c r="X46" s="117"/>
      <c r="Y46" s="117"/>
      <c r="Z46" s="117"/>
      <c r="AA46" s="117"/>
    </row>
    <row r="47" spans="1:29" outlineLevel="2" x14ac:dyDescent="0.15">
      <c r="A47" s="128" t="s">
        <v>76</v>
      </c>
      <c r="B47" s="135" t="e">
        <f>B46/B$37</f>
        <v>#REF!</v>
      </c>
      <c r="C47" s="138">
        <f>C46/C43</f>
        <v>0</v>
      </c>
      <c r="D47" s="138">
        <f t="shared" ref="D47:L47" si="28">D46/D43</f>
        <v>0</v>
      </c>
      <c r="E47" s="138">
        <f t="shared" si="28"/>
        <v>0</v>
      </c>
      <c r="F47" s="138">
        <f t="shared" si="28"/>
        <v>0</v>
      </c>
      <c r="G47" s="138">
        <f t="shared" si="28"/>
        <v>0</v>
      </c>
      <c r="H47" s="138">
        <f t="shared" si="28"/>
        <v>0</v>
      </c>
      <c r="I47" s="138">
        <f t="shared" si="28"/>
        <v>0</v>
      </c>
      <c r="J47" s="138">
        <f t="shared" si="28"/>
        <v>0</v>
      </c>
      <c r="K47" s="138">
        <f t="shared" si="28"/>
        <v>0</v>
      </c>
      <c r="L47" s="138">
        <f t="shared" si="28"/>
        <v>0</v>
      </c>
      <c r="M47" s="114"/>
      <c r="N47" s="114"/>
      <c r="O47" s="114"/>
      <c r="P47" s="111"/>
      <c r="Q47" s="111"/>
      <c r="R47" s="111"/>
      <c r="S47" s="111"/>
      <c r="T47" s="111"/>
      <c r="V47" s="119"/>
      <c r="W47" s="119"/>
      <c r="X47" s="117"/>
      <c r="Y47" s="117"/>
      <c r="Z47" s="117"/>
      <c r="AA47" s="117"/>
    </row>
    <row r="48" spans="1:29" outlineLevel="2" x14ac:dyDescent="0.15">
      <c r="L48" s="139"/>
      <c r="M48" s="114"/>
      <c r="N48" s="114"/>
      <c r="O48" s="114"/>
      <c r="P48" s="111"/>
      <c r="Q48" s="111"/>
      <c r="R48" s="111"/>
      <c r="S48" s="111"/>
      <c r="T48" s="111"/>
      <c r="V48" s="119"/>
      <c r="W48" s="119"/>
      <c r="X48" s="117"/>
      <c r="Y48" s="117"/>
      <c r="Z48" s="117"/>
      <c r="AA48" s="117"/>
    </row>
    <row r="49" spans="1:38" outlineLevel="2" x14ac:dyDescent="0.15">
      <c r="A49" s="108" t="str">
        <f>"Revenue (Historical Data: "&amp;B2&amp;")"</f>
        <v>Revenue (Historical Data: Broker Actual)</v>
      </c>
      <c r="B49" s="140">
        <f>CHOOSE(IF($B$1=2,2,1),'GAAP-IFRS'!E11,IF('Broker Actual'!E11="-",'GAAP-IFRS'!E11,'Broker Actual'!E11))</f>
        <v>10515.4</v>
      </c>
      <c r="C49" s="140">
        <f>CHOOSE(IF($B$1=2,2,1),'GAAP-IFRS'!F11,IF('Broker Actual'!F11="-",'GAAP-IFRS'!F11,'Broker Actual'!F11))</f>
        <v>10353.799999999999</v>
      </c>
      <c r="D49" s="140">
        <f>CHOOSE(IF($B$1=2,2,1),'GAAP-IFRS'!G11,IF('Broker Actual'!G11="-",'GAAP-IFRS'!G11,'Broker Actual'!G11))</f>
        <v>10509.7</v>
      </c>
      <c r="E49" s="140">
        <f>CHOOSE(IF($B$1=2,2,1),'GAAP-IFRS'!H11,IF('Broker Actual'!H11="-",'GAAP-IFRS'!H11,'Broker Actual'!H11))</f>
        <v>10731.3</v>
      </c>
      <c r="F49" s="140">
        <f>CHOOSE(IF($B$1=2,2,1),'GAAP-IFRS'!I11,IF('Broker Actual'!I11="-",'GAAP-IFRS'!I11,'Broker Actual'!I11))</f>
        <v>11046.5</v>
      </c>
      <c r="G49" s="140">
        <f>CHOOSE(IF($B$1=2,2,1),'GAAP-IFRS'!J11,IF('Broker Actual'!J11="-",'GAAP-IFRS'!J11,'Broker Actual'!J11))</f>
        <v>11286.8</v>
      </c>
      <c r="H49" s="140">
        <f>CHOOSE(IF($B$1=2,2,1),'GAAP-IFRS'!K11,IF('Broker Actual'!K11="-",'GAAP-IFRS'!K11,'Broker Actual'!K11))</f>
        <v>11598.5</v>
      </c>
      <c r="I49" s="140">
        <f>CHOOSE(IF($B$1=2,2,1),'GAAP-IFRS'!L11,IF('Broker Actual'!L11="-",'GAAP-IFRS'!L11,'Broker Actual'!L11))</f>
        <v>11998.9</v>
      </c>
      <c r="J49" s="140">
        <f>CHOOSE(IF($B$1=2,2,1),'GAAP-IFRS'!M11,IF('Broker Actual'!M11="-",'GAAP-IFRS'!M11,'Broker Actual'!M11))</f>
        <v>13162.1</v>
      </c>
      <c r="K49" s="140">
        <f>CHOOSE(IF($B$1=2,2,1),'GAAP-IFRS'!N11,IF('Broker Actual'!N11="-",'GAAP-IFRS'!N11,'Broker Actual'!N11))</f>
        <v>12013.8</v>
      </c>
      <c r="L49" s="140">
        <f>CHOOSE(IF($B$1=2,2,1),'GAAP-IFRS'!O11,IF('Broker Actual'!O11="-",'GAAP-IFRS'!O11,'Broker Actual'!O11))</f>
        <v>11991</v>
      </c>
      <c r="M49" s="126">
        <f>M37+M46</f>
        <v>12446.339101255875</v>
      </c>
      <c r="N49" s="126">
        <f t="shared" ref="N49:Q49" si="29">N37+N46</f>
        <v>14091.407912444043</v>
      </c>
      <c r="O49" s="126">
        <f t="shared" si="29"/>
        <v>14566.537080973876</v>
      </c>
      <c r="P49" s="126">
        <f t="shared" si="29"/>
        <v>14775.1101799719</v>
      </c>
      <c r="Q49" s="126">
        <f t="shared" si="29"/>
        <v>14887.454866559096</v>
      </c>
      <c r="R49" s="111"/>
      <c r="S49" s="111"/>
      <c r="T49" s="111"/>
      <c r="V49" s="119"/>
      <c r="W49" s="119"/>
      <c r="X49" s="117"/>
      <c r="Y49" s="117"/>
      <c r="Z49" s="117"/>
      <c r="AA49" s="117"/>
    </row>
    <row r="50" spans="1:38" outlineLevel="2" x14ac:dyDescent="0.15">
      <c r="A50" s="128" t="s">
        <v>74</v>
      </c>
      <c r="C50" s="138">
        <f>C49/B49-1</f>
        <v>-1.5367936550202632E-2</v>
      </c>
      <c r="D50" s="138">
        <f t="shared" ref="D50:Q50" si="30">D49/C49-1</f>
        <v>1.5057273657980819E-2</v>
      </c>
      <c r="E50" s="138">
        <f t="shared" si="30"/>
        <v>2.1085283119403941E-2</v>
      </c>
      <c r="F50" s="138">
        <f t="shared" si="30"/>
        <v>2.9372023892725085E-2</v>
      </c>
      <c r="G50" s="138">
        <f t="shared" si="30"/>
        <v>2.1753496582627818E-2</v>
      </c>
      <c r="H50" s="138">
        <f t="shared" si="30"/>
        <v>2.7616330580855664E-2</v>
      </c>
      <c r="I50" s="138">
        <f t="shared" si="30"/>
        <v>3.4521705392938751E-2</v>
      </c>
      <c r="J50" s="138">
        <f t="shared" si="30"/>
        <v>9.6942219703472832E-2</v>
      </c>
      <c r="K50" s="138">
        <f t="shared" si="30"/>
        <v>-8.7242917163674605E-2</v>
      </c>
      <c r="L50" s="138">
        <f t="shared" si="30"/>
        <v>-1.8978175098636196E-3</v>
      </c>
      <c r="M50" s="138">
        <f t="shared" si="30"/>
        <v>3.7973405158525209E-2</v>
      </c>
      <c r="N50" s="138">
        <f t="shared" si="30"/>
        <v>0.13217290625017397</v>
      </c>
      <c r="O50" s="138">
        <f t="shared" si="30"/>
        <v>3.3717650605391114E-2</v>
      </c>
      <c r="P50" s="138">
        <f t="shared" si="30"/>
        <v>1.4318646761312337E-2</v>
      </c>
      <c r="Q50" s="138">
        <f t="shared" si="30"/>
        <v>7.6036445900404814E-3</v>
      </c>
      <c r="R50" s="111"/>
      <c r="S50" s="111"/>
      <c r="T50" s="111"/>
      <c r="V50" s="119"/>
      <c r="W50" s="119"/>
      <c r="X50" s="117"/>
      <c r="Y50" s="117"/>
      <c r="Z50" s="117"/>
      <c r="AA50" s="117"/>
    </row>
    <row r="51" spans="1:38" outlineLevel="2" x14ac:dyDescent="0.15">
      <c r="A51" s="12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14"/>
      <c r="N51" s="114"/>
      <c r="O51" s="114"/>
      <c r="P51" s="111"/>
      <c r="Q51" s="111"/>
      <c r="R51" s="111"/>
      <c r="S51" s="111"/>
      <c r="T51" s="111"/>
      <c r="V51" s="119"/>
      <c r="W51" s="119"/>
      <c r="X51" s="117"/>
      <c r="Y51" s="117"/>
      <c r="Z51" s="117"/>
      <c r="AA51" s="117"/>
    </row>
    <row r="52" spans="1:38" outlineLevel="2" x14ac:dyDescent="0.15">
      <c r="A52" s="108" t="s">
        <v>80</v>
      </c>
      <c r="B52" s="117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11"/>
      <c r="Q52" s="111"/>
      <c r="R52" s="111"/>
      <c r="S52" s="111"/>
      <c r="T52" s="111"/>
      <c r="V52" s="119"/>
      <c r="W52" s="119"/>
      <c r="X52" s="117"/>
      <c r="Y52" s="117"/>
      <c r="Z52" s="117"/>
      <c r="AA52" s="117"/>
    </row>
    <row r="53" spans="1:38" ht="14.5" customHeight="1" outlineLevel="2" x14ac:dyDescent="0.15">
      <c r="A53" s="202" t="s">
        <v>262</v>
      </c>
      <c r="B53" s="122"/>
      <c r="C53" s="198">
        <v>6595.7</v>
      </c>
      <c r="D53" s="198">
        <v>7310.8</v>
      </c>
      <c r="E53" s="198">
        <v>6782.8</v>
      </c>
      <c r="F53" s="198">
        <v>6941.8</v>
      </c>
      <c r="G53" s="198">
        <v>7055.7</v>
      </c>
      <c r="H53" s="198">
        <v>8020.4</v>
      </c>
      <c r="I53" s="198">
        <v>7496.2</v>
      </c>
      <c r="J53" s="198">
        <v>8972.9</v>
      </c>
      <c r="K53" s="198">
        <v>7598.6</v>
      </c>
      <c r="L53" s="198">
        <v>6936.7</v>
      </c>
      <c r="M53" s="225">
        <f>M55+M58</f>
        <v>6960.9752000000008</v>
      </c>
      <c r="N53" s="225">
        <f>N55+N58</f>
        <v>7550.6594160000004</v>
      </c>
      <c r="O53" s="225">
        <f>O55+O58</f>
        <v>7764.7332109200006</v>
      </c>
      <c r="P53" s="225">
        <f t="shared" ref="P53:Q53" si="31">P55+P58</f>
        <v>7833.8818430291994</v>
      </c>
      <c r="Q53" s="225">
        <f t="shared" si="31"/>
        <v>7857.4494507490926</v>
      </c>
      <c r="R53" s="111"/>
      <c r="S53" s="111"/>
      <c r="T53" s="111"/>
      <c r="V53" s="119"/>
      <c r="W53" s="119"/>
      <c r="X53" s="117"/>
      <c r="Y53" s="117"/>
      <c r="Z53" s="117"/>
      <c r="AA53" s="117"/>
    </row>
    <row r="54" spans="1:38" outlineLevel="2" x14ac:dyDescent="0.15">
      <c r="A54" s="294" t="s">
        <v>74</v>
      </c>
      <c r="B54" s="295"/>
      <c r="C54" s="296"/>
      <c r="D54" s="296">
        <f t="shared" ref="D54:H54" si="32">D53/C53-1</f>
        <v>0.10841912154888789</v>
      </c>
      <c r="E54" s="296">
        <f t="shared" si="32"/>
        <v>-7.2221918257919793E-2</v>
      </c>
      <c r="F54" s="296">
        <f t="shared" si="32"/>
        <v>2.344164651766234E-2</v>
      </c>
      <c r="G54" s="296">
        <f t="shared" si="32"/>
        <v>1.6407848108559664E-2</v>
      </c>
      <c r="H54" s="296">
        <f t="shared" si="32"/>
        <v>0.13672633473645424</v>
      </c>
      <c r="I54" s="296">
        <f>I53/H53-1</f>
        <v>-6.5358336242581361E-2</v>
      </c>
      <c r="J54" s="296">
        <f t="shared" ref="J54:Q54" si="33">J53/I53-1</f>
        <v>0.1969931431925509</v>
      </c>
      <c r="K54" s="296">
        <f t="shared" si="33"/>
        <v>-0.15316118534698919</v>
      </c>
      <c r="L54" s="296">
        <f t="shared" si="33"/>
        <v>-8.7108151501592457E-2</v>
      </c>
      <c r="M54" s="138">
        <f t="shared" si="33"/>
        <v>3.4995314775039255E-3</v>
      </c>
      <c r="N54" s="138">
        <f t="shared" si="33"/>
        <v>8.4712874138669569E-2</v>
      </c>
      <c r="O54" s="138">
        <f t="shared" si="33"/>
        <v>2.8351668791519513E-2</v>
      </c>
      <c r="P54" s="138">
        <f t="shared" si="33"/>
        <v>8.9054743068250897E-3</v>
      </c>
      <c r="Q54" s="138">
        <f t="shared" si="33"/>
        <v>3.008420115611532E-3</v>
      </c>
      <c r="R54" s="117"/>
      <c r="S54" s="117"/>
      <c r="T54" s="117"/>
      <c r="U54" s="118"/>
      <c r="V54" s="119"/>
      <c r="W54" s="119"/>
      <c r="X54" s="117"/>
      <c r="Y54" s="117"/>
      <c r="Z54" s="117"/>
      <c r="AA54" s="117"/>
      <c r="AB54" s="117"/>
      <c r="AC54" s="120"/>
    </row>
    <row r="55" spans="1:38" ht="15" outlineLevel="2" collapsed="1" x14ac:dyDescent="0.15">
      <c r="A55" s="205" t="s">
        <v>268</v>
      </c>
      <c r="B55" s="122"/>
      <c r="C55" s="198"/>
      <c r="D55" s="198"/>
      <c r="E55" s="198"/>
      <c r="F55" s="198"/>
      <c r="G55" s="198"/>
      <c r="H55" s="198"/>
      <c r="I55" s="198">
        <f t="shared" ref="I55:Q55" si="34">I57*I13</f>
        <v>4476.3504000000003</v>
      </c>
      <c r="J55" s="198">
        <f t="shared" si="34"/>
        <v>4399.8158999999996</v>
      </c>
      <c r="K55" s="198">
        <f t="shared" si="34"/>
        <v>4661.826</v>
      </c>
      <c r="L55" s="198">
        <f t="shared" si="34"/>
        <v>4174.2861000000003</v>
      </c>
      <c r="M55" s="126">
        <f t="shared" si="34"/>
        <v>4032.8000000000006</v>
      </c>
      <c r="N55" s="126">
        <f t="shared" si="34"/>
        <v>4405.2276000000002</v>
      </c>
      <c r="O55" s="126">
        <f t="shared" si="34"/>
        <v>4581.4367040000006</v>
      </c>
      <c r="P55" s="126">
        <f t="shared" si="34"/>
        <v>4627.2510710400002</v>
      </c>
      <c r="Q55" s="126">
        <f t="shared" si="34"/>
        <v>4627.2510710400002</v>
      </c>
      <c r="R55" s="117"/>
      <c r="S55" s="117"/>
      <c r="T55" s="117"/>
      <c r="U55" s="118"/>
      <c r="V55" s="147"/>
      <c r="W55" s="147"/>
      <c r="X55" s="145"/>
      <c r="Y55" s="145"/>
      <c r="Z55" s="145"/>
      <c r="AA55" s="145"/>
      <c r="AB55" s="117"/>
      <c r="AC55" s="120"/>
    </row>
    <row r="56" spans="1:38" ht="15" outlineLevel="2" x14ac:dyDescent="0.15">
      <c r="A56" s="206" t="s">
        <v>272</v>
      </c>
      <c r="B56" s="122"/>
      <c r="C56" s="198"/>
      <c r="D56" s="198"/>
      <c r="E56" s="198"/>
      <c r="F56" s="198"/>
      <c r="G56" s="198"/>
      <c r="H56" s="198"/>
      <c r="I56" s="198"/>
      <c r="J56" s="207">
        <f>(J55-I55)/I55</f>
        <v>-1.7097522124273529E-2</v>
      </c>
      <c r="K56" s="207">
        <f t="shared" ref="K56:Q56" si="35">(K55-J55)/J55</f>
        <v>5.9550241636246747E-2</v>
      </c>
      <c r="L56" s="207">
        <f t="shared" si="35"/>
        <v>-0.1045813164197891</v>
      </c>
      <c r="M56" s="224">
        <f t="shared" si="35"/>
        <v>-3.3894682015207248E-2</v>
      </c>
      <c r="N56" s="224">
        <f>(N55-M55)/M55</f>
        <v>9.2349633009323417E-2</v>
      </c>
      <c r="O56" s="224">
        <f t="shared" si="35"/>
        <v>4.0000000000000105E-2</v>
      </c>
      <c r="P56" s="224">
        <f t="shared" si="35"/>
        <v>9.9999999999998944E-3</v>
      </c>
      <c r="Q56" s="224">
        <f t="shared" si="35"/>
        <v>0</v>
      </c>
      <c r="R56" s="111"/>
      <c r="S56" s="111"/>
      <c r="T56" s="111"/>
      <c r="V56" s="119"/>
      <c r="W56" s="119"/>
      <c r="X56" s="117"/>
      <c r="Y56" s="117"/>
      <c r="Z56" s="117"/>
      <c r="AA56" s="117"/>
    </row>
    <row r="57" spans="1:38" ht="15" outlineLevel="2" x14ac:dyDescent="0.15">
      <c r="A57" s="206" t="s">
        <v>273</v>
      </c>
      <c r="B57" s="122"/>
      <c r="C57" s="198"/>
      <c r="D57" s="198"/>
      <c r="E57" s="198"/>
      <c r="F57" s="198"/>
      <c r="G57" s="198"/>
      <c r="H57" s="198"/>
      <c r="I57" s="216">
        <v>0.74399999999999999</v>
      </c>
      <c r="J57" s="216">
        <v>0.73099999999999998</v>
      </c>
      <c r="K57" s="216">
        <v>0.76700000000000002</v>
      </c>
      <c r="L57" s="216">
        <v>0.66700000000000004</v>
      </c>
      <c r="M57" s="369">
        <f>'Unum US Breakout - Bull'!AO12</f>
        <v>0.61198537110945872</v>
      </c>
      <c r="N57" s="369">
        <f>'Unum US Breakout - Bull'!AP12</f>
        <v>0.54568293329718265</v>
      </c>
      <c r="O57" s="369">
        <f>'Unum US Breakout - Bull'!AQ12</f>
        <v>0.54568293329718265</v>
      </c>
      <c r="P57" s="369">
        <f>O57</f>
        <v>0.54568293329718265</v>
      </c>
      <c r="Q57" s="369">
        <f>P57</f>
        <v>0.54568293329718265</v>
      </c>
      <c r="R57" s="111"/>
      <c r="S57" s="111"/>
      <c r="T57" s="111"/>
      <c r="V57" s="119"/>
      <c r="W57" s="119"/>
      <c r="X57" s="117"/>
      <c r="Y57" s="117"/>
      <c r="Z57" s="117"/>
      <c r="AA57" s="117"/>
    </row>
    <row r="58" spans="1:38" ht="15" outlineLevel="2" collapsed="1" x14ac:dyDescent="0.15">
      <c r="A58" s="205" t="s">
        <v>274</v>
      </c>
      <c r="B58" s="122"/>
      <c r="C58" s="198"/>
      <c r="D58" s="198"/>
      <c r="E58" s="198"/>
      <c r="F58" s="198"/>
      <c r="G58" s="198"/>
      <c r="H58" s="198"/>
      <c r="I58" s="198">
        <f>I53-I55</f>
        <v>3019.8495999999996</v>
      </c>
      <c r="J58" s="198">
        <f t="shared" ref="J58:L58" si="36">J53-J55</f>
        <v>4573.0841</v>
      </c>
      <c r="K58" s="198">
        <f t="shared" si="36"/>
        <v>2936.7740000000003</v>
      </c>
      <c r="L58" s="198">
        <f t="shared" si="36"/>
        <v>2762.4138999999996</v>
      </c>
      <c r="M58" s="229">
        <f>(M15+M19+M17)*M60</f>
        <v>2928.1751999999997</v>
      </c>
      <c r="N58" s="229">
        <f t="shared" ref="N58:Q58" si="37">(N15+N19+N17)*N60</f>
        <v>3145.4318160000003</v>
      </c>
      <c r="O58" s="229">
        <f t="shared" si="37"/>
        <v>3183.29650692</v>
      </c>
      <c r="P58" s="229">
        <f t="shared" si="37"/>
        <v>3206.6307719891997</v>
      </c>
      <c r="Q58" s="229">
        <f t="shared" si="37"/>
        <v>3230.198379709092</v>
      </c>
      <c r="R58" s="117"/>
      <c r="S58" s="117"/>
      <c r="T58" s="117"/>
      <c r="U58" s="118"/>
      <c r="V58" s="119"/>
      <c r="W58" s="119"/>
      <c r="X58" s="117"/>
      <c r="Y58" s="117"/>
      <c r="Z58" s="117"/>
      <c r="AA58" s="117"/>
      <c r="AB58" s="117"/>
      <c r="AC58" s="120"/>
    </row>
    <row r="59" spans="1:38" ht="15" outlineLevel="2" x14ac:dyDescent="0.15">
      <c r="A59" s="206" t="s">
        <v>272</v>
      </c>
      <c r="B59" s="122"/>
      <c r="C59" s="198"/>
      <c r="D59" s="198"/>
      <c r="E59" s="198"/>
      <c r="F59" s="198"/>
      <c r="G59" s="198"/>
      <c r="H59" s="198"/>
      <c r="I59" s="198"/>
      <c r="J59" s="207">
        <f>(J58-I58)/I58</f>
        <v>0.51434167449928658</v>
      </c>
      <c r="K59" s="207">
        <f t="shared" ref="K59:M59" si="38">(K58-J58)/J58</f>
        <v>-0.35781325342343906</v>
      </c>
      <c r="L59" s="207">
        <f t="shared" si="38"/>
        <v>-5.9371303341694243E-2</v>
      </c>
      <c r="M59" s="224">
        <f t="shared" si="38"/>
        <v>6.0005960728767023E-2</v>
      </c>
      <c r="N59" s="224">
        <f>(N58-M58)/M58</f>
        <v>7.4195224384114924E-2</v>
      </c>
      <c r="O59" s="224">
        <f t="shared" ref="O59:Q59" si="39">(O58-N58)/N58</f>
        <v>1.2037994505998123E-2</v>
      </c>
      <c r="P59" s="224">
        <f t="shared" si="39"/>
        <v>7.3302204235372505E-3</v>
      </c>
      <c r="Q59" s="224">
        <f t="shared" si="39"/>
        <v>7.3496480872577595E-3</v>
      </c>
      <c r="R59" s="111"/>
      <c r="S59" s="111"/>
      <c r="T59" s="111"/>
      <c r="V59" s="119"/>
      <c r="W59" s="119"/>
      <c r="X59" s="117"/>
      <c r="Y59" s="117"/>
      <c r="Z59" s="117"/>
      <c r="AA59" s="117"/>
    </row>
    <row r="60" spans="1:38" ht="15" outlineLevel="2" x14ac:dyDescent="0.15">
      <c r="A60" s="206" t="s">
        <v>273</v>
      </c>
      <c r="B60" s="122"/>
      <c r="C60" s="198"/>
      <c r="D60" s="198"/>
      <c r="E60" s="198"/>
      <c r="F60" s="198"/>
      <c r="G60" s="198"/>
      <c r="H60" s="198"/>
      <c r="I60" s="207">
        <f>I58/(I15+I17+I19)</f>
        <v>0.90171681098835454</v>
      </c>
      <c r="J60" s="207">
        <f>J58/(J15+J17+J19)</f>
        <v>1.361361068111455</v>
      </c>
      <c r="K60" s="207">
        <f>K58/(K15+K17+K19)</f>
        <v>0.86299559212459609</v>
      </c>
      <c r="L60" s="207">
        <f>L58/(L15+L17+L19)</f>
        <v>0.82090098362604358</v>
      </c>
      <c r="M60" s="299">
        <v>0.85</v>
      </c>
      <c r="N60" s="299">
        <v>0.9</v>
      </c>
      <c r="O60" s="299">
        <f t="shared" ref="O60:Q60" si="40">N60</f>
        <v>0.9</v>
      </c>
      <c r="P60" s="299">
        <f t="shared" si="40"/>
        <v>0.9</v>
      </c>
      <c r="Q60" s="299">
        <f t="shared" si="40"/>
        <v>0.9</v>
      </c>
      <c r="R60" s="111"/>
      <c r="S60" s="111"/>
      <c r="T60" s="111"/>
      <c r="V60" s="147"/>
      <c r="W60" s="147"/>
      <c r="X60" s="145"/>
      <c r="Y60" s="145"/>
      <c r="Z60" s="145"/>
      <c r="AA60" s="145"/>
    </row>
    <row r="61" spans="1:38" outlineLevel="2" collapsed="1" x14ac:dyDescent="0.15">
      <c r="A61" s="202"/>
      <c r="B61" s="122"/>
      <c r="C61" s="198"/>
      <c r="D61" s="198"/>
      <c r="E61" s="198"/>
      <c r="F61" s="198"/>
      <c r="G61" s="198"/>
      <c r="H61" s="198"/>
      <c r="I61" s="198"/>
      <c r="J61" s="198"/>
      <c r="K61" s="198"/>
      <c r="L61" s="198"/>
      <c r="M61" s="126"/>
      <c r="N61" s="126"/>
      <c r="O61" s="126"/>
      <c r="P61" s="117"/>
      <c r="Q61" s="117"/>
      <c r="R61" s="117"/>
      <c r="S61" s="117"/>
      <c r="T61" s="117"/>
      <c r="U61" s="118"/>
      <c r="V61" s="119"/>
      <c r="W61" s="119"/>
      <c r="X61" s="117"/>
      <c r="Y61" s="117"/>
      <c r="Z61" s="117"/>
      <c r="AA61" s="117"/>
      <c r="AB61" s="117"/>
      <c r="AC61" s="120"/>
    </row>
    <row r="62" spans="1:38" ht="15" outlineLevel="2" x14ac:dyDescent="0.15">
      <c r="A62" s="202" t="s">
        <v>266</v>
      </c>
      <c r="B62" s="200" t="e">
        <f>B53/B$22</f>
        <v>#DIV/0!</v>
      </c>
      <c r="C62" s="204">
        <v>1699.9</v>
      </c>
      <c r="D62" s="204">
        <v>1756.1999999999998</v>
      </c>
      <c r="E62" s="204">
        <v>1831.4</v>
      </c>
      <c r="F62" s="204">
        <v>1858.8000000000002</v>
      </c>
      <c r="G62" s="204">
        <v>1905.1999999999998</v>
      </c>
      <c r="H62" s="204">
        <v>1994.3000000000002</v>
      </c>
      <c r="I62" s="204">
        <v>2021</v>
      </c>
      <c r="J62" s="204">
        <v>2010.5</v>
      </c>
      <c r="K62" s="204">
        <v>2013.3</v>
      </c>
      <c r="L62" s="204">
        <v>2175.9</v>
      </c>
      <c r="M62" s="265">
        <f>M63*M11</f>
        <v>2307.9607599999999</v>
      </c>
      <c r="N62" s="265">
        <f>N63*N11</f>
        <v>2660.5927672000003</v>
      </c>
      <c r="O62" s="265">
        <f>O63*O11</f>
        <v>2744.5397070040003</v>
      </c>
      <c r="P62" s="265">
        <f t="shared" ref="P62:Q62" si="41">P63*P11</f>
        <v>2890.2398755555196</v>
      </c>
      <c r="Q62" s="265">
        <f t="shared" si="41"/>
        <v>2896.5245709474912</v>
      </c>
      <c r="R62" s="117"/>
      <c r="S62" s="117"/>
      <c r="T62" s="117"/>
      <c r="U62" s="118"/>
      <c r="V62" s="119"/>
      <c r="W62" s="119"/>
      <c r="X62" s="117"/>
      <c r="Y62" s="117"/>
      <c r="Z62" s="117"/>
      <c r="AA62" s="117"/>
      <c r="AB62" s="117"/>
      <c r="AC62" s="120"/>
    </row>
    <row r="63" spans="1:38" ht="30" outlineLevel="2" x14ac:dyDescent="0.15">
      <c r="A63" s="206" t="s">
        <v>294</v>
      </c>
      <c r="B63" s="122"/>
      <c r="C63" s="207">
        <f t="shared" ref="C63:L63" si="42">C62/C11</f>
        <v>0.22294647658268524</v>
      </c>
      <c r="D63" s="207">
        <f t="shared" si="42"/>
        <v>0.22523469963576667</v>
      </c>
      <c r="E63" s="207">
        <f t="shared" si="42"/>
        <v>0.22659111155102446</v>
      </c>
      <c r="F63" s="207">
        <f t="shared" si="42"/>
        <v>0.2224056857747945</v>
      </c>
      <c r="G63" s="207">
        <f t="shared" si="42"/>
        <v>0.22160961254376474</v>
      </c>
      <c r="H63" s="207">
        <f t="shared" si="42"/>
        <v>0.22193164999276663</v>
      </c>
      <c r="I63" s="207">
        <f t="shared" si="42"/>
        <v>0.21578969847100024</v>
      </c>
      <c r="J63" s="207">
        <f t="shared" si="42"/>
        <v>0.21438244420511618</v>
      </c>
      <c r="K63" s="207">
        <f t="shared" si="42"/>
        <v>0.21235101782512392</v>
      </c>
      <c r="L63" s="207">
        <f t="shared" si="42"/>
        <v>0.22610511877299086</v>
      </c>
      <c r="M63" s="430">
        <v>0.23</v>
      </c>
      <c r="N63" s="431">
        <v>0.23</v>
      </c>
      <c r="O63" s="431">
        <v>0.23</v>
      </c>
      <c r="P63" s="431">
        <v>0.24</v>
      </c>
      <c r="Q63" s="431">
        <v>0.24</v>
      </c>
      <c r="R63" s="111"/>
      <c r="S63" s="111"/>
      <c r="T63" s="111"/>
      <c r="V63" s="119"/>
      <c r="W63" s="119"/>
      <c r="X63" s="117"/>
      <c r="Y63" s="117"/>
      <c r="Z63" s="117"/>
      <c r="AA63" s="117"/>
    </row>
    <row r="64" spans="1:38" s="128" customFormat="1" ht="15.75" customHeight="1" outlineLevel="2" x14ac:dyDescent="0.15">
      <c r="A64" s="256" t="s">
        <v>295</v>
      </c>
      <c r="B64" s="257"/>
      <c r="C64" s="297"/>
      <c r="D64" s="297">
        <f>D63/C63-1</f>
        <v>1.0263553334213693E-2</v>
      </c>
      <c r="E64" s="297">
        <f t="shared" ref="E64:Q64" si="43">E63/D63-1</f>
        <v>6.0222155709190872E-3</v>
      </c>
      <c r="F64" s="297">
        <f t="shared" si="43"/>
        <v>-1.8471270773070314E-2</v>
      </c>
      <c r="G64" s="297">
        <f t="shared" si="43"/>
        <v>-3.5793744582405251E-3</v>
      </c>
      <c r="H64" s="297">
        <f t="shared" si="43"/>
        <v>1.4531745500809823E-3</v>
      </c>
      <c r="I64" s="297">
        <f t="shared" si="43"/>
        <v>-2.767496894636956E-2</v>
      </c>
      <c r="J64" s="297">
        <f t="shared" si="43"/>
        <v>-6.5214154144304093E-3</v>
      </c>
      <c r="K64" s="297">
        <f t="shared" si="43"/>
        <v>-9.475712377122858E-3</v>
      </c>
      <c r="L64" s="297">
        <f t="shared" si="43"/>
        <v>6.4770591112465414E-2</v>
      </c>
      <c r="M64" s="432">
        <f t="shared" si="43"/>
        <v>1.7225975458430964E-2</v>
      </c>
      <c r="N64" s="432">
        <f t="shared" si="43"/>
        <v>0</v>
      </c>
      <c r="O64" s="432">
        <f t="shared" si="43"/>
        <v>0</v>
      </c>
      <c r="P64" s="432">
        <f t="shared" si="43"/>
        <v>4.3478260869565188E-2</v>
      </c>
      <c r="Q64" s="432">
        <f t="shared" si="43"/>
        <v>0</v>
      </c>
      <c r="R64" s="258"/>
      <c r="S64" s="258"/>
      <c r="T64" s="258"/>
      <c r="U64" s="259"/>
      <c r="V64" s="260"/>
      <c r="W64" s="260"/>
      <c r="X64" s="258"/>
      <c r="Y64" s="258"/>
      <c r="Z64" s="258"/>
      <c r="AA64" s="258"/>
      <c r="AB64" s="258"/>
      <c r="AC64" s="258"/>
      <c r="AD64" s="258"/>
      <c r="AE64" s="258"/>
      <c r="AF64" s="258"/>
      <c r="AG64" s="258"/>
      <c r="AH64" s="258"/>
      <c r="AI64" s="258"/>
      <c r="AJ64" s="258"/>
      <c r="AK64" s="258"/>
      <c r="AL64" s="258"/>
    </row>
    <row r="65" spans="1:38" ht="30" outlineLevel="2" x14ac:dyDescent="0.15">
      <c r="A65" s="206" t="s">
        <v>296</v>
      </c>
      <c r="B65" s="122"/>
      <c r="C65" s="207">
        <f t="shared" ref="C65:L65" si="44">C62/C37</f>
        <v>0.1639469166521999</v>
      </c>
      <c r="D65" s="207">
        <f t="shared" si="44"/>
        <v>0.16686778469285951</v>
      </c>
      <c r="E65" s="207">
        <f t="shared" si="44"/>
        <v>0.17065965912797146</v>
      </c>
      <c r="F65" s="207">
        <f t="shared" si="44"/>
        <v>0.16827049291630836</v>
      </c>
      <c r="G65" s="207">
        <f t="shared" si="44"/>
        <v>0.16879895098699366</v>
      </c>
      <c r="H65" s="207">
        <f t="shared" si="44"/>
        <v>0.17194464801482953</v>
      </c>
      <c r="I65" s="207">
        <f t="shared" si="44"/>
        <v>0.16843210627640864</v>
      </c>
      <c r="J65" s="207">
        <f t="shared" si="44"/>
        <v>0.15274918136163682</v>
      </c>
      <c r="K65" s="207">
        <f t="shared" si="44"/>
        <v>0.16758228037756581</v>
      </c>
      <c r="L65" s="207">
        <f t="shared" si="44"/>
        <v>0.1814610958218664</v>
      </c>
      <c r="M65" s="224">
        <f>M62/M49</f>
        <v>0.18543290048775221</v>
      </c>
      <c r="N65" s="224">
        <f>N62/N37</f>
        <v>0.188809576994109</v>
      </c>
      <c r="O65" s="224">
        <f>O62/O37</f>
        <v>0.18841401300442154</v>
      </c>
      <c r="P65" s="224">
        <f t="shared" ref="P65:Q65" si="45">P62/P37</f>
        <v>0.19561545330966976</v>
      </c>
      <c r="Q65" s="224">
        <f t="shared" si="45"/>
        <v>0.194561434235062</v>
      </c>
      <c r="R65" s="111"/>
      <c r="S65" s="111"/>
      <c r="T65" s="111"/>
      <c r="V65" s="119"/>
      <c r="W65" s="119"/>
      <c r="X65" s="117"/>
      <c r="Y65" s="117"/>
      <c r="Z65" s="117"/>
      <c r="AA65" s="117"/>
    </row>
    <row r="66" spans="1:38" s="128" customFormat="1" ht="15.75" customHeight="1" outlineLevel="2" x14ac:dyDescent="0.15">
      <c r="A66" s="256" t="s">
        <v>295</v>
      </c>
      <c r="B66" s="257"/>
      <c r="C66" s="297"/>
      <c r="D66" s="297">
        <f>D65/C65-1</f>
        <v>1.7815937623615108E-2</v>
      </c>
      <c r="E66" s="297">
        <f t="shared" ref="E66:Q66" si="46">E65/D65-1</f>
        <v>2.2723825584976431E-2</v>
      </c>
      <c r="F66" s="297">
        <f t="shared" si="46"/>
        <v>-1.3999595592017133E-2</v>
      </c>
      <c r="G66" s="297">
        <f t="shared" si="46"/>
        <v>3.1405272637321513E-3</v>
      </c>
      <c r="H66" s="297">
        <f t="shared" si="46"/>
        <v>1.8635761712039622E-2</v>
      </c>
      <c r="I66" s="297">
        <f t="shared" si="46"/>
        <v>-2.0428328412512964E-2</v>
      </c>
      <c r="J66" s="297">
        <f t="shared" si="46"/>
        <v>-9.3111255695129014E-2</v>
      </c>
      <c r="K66" s="297">
        <f t="shared" si="46"/>
        <v>9.7107551632707789E-2</v>
      </c>
      <c r="L66" s="297">
        <f t="shared" si="46"/>
        <v>8.2817917342044689E-2</v>
      </c>
      <c r="M66" s="432">
        <f t="shared" si="46"/>
        <v>2.1887912931953135E-2</v>
      </c>
      <c r="N66" s="432">
        <f t="shared" si="46"/>
        <v>1.8209694706144086E-2</v>
      </c>
      <c r="O66" s="432">
        <f t="shared" si="46"/>
        <v>-2.0950419781926577E-3</v>
      </c>
      <c r="P66" s="432">
        <f t="shared" si="46"/>
        <v>3.8221362574975881E-2</v>
      </c>
      <c r="Q66" s="432">
        <f t="shared" si="46"/>
        <v>-5.3882198812748028E-3</v>
      </c>
      <c r="R66" s="258"/>
      <c r="S66" s="258"/>
      <c r="T66" s="258"/>
      <c r="U66" s="259"/>
      <c r="V66" s="260"/>
      <c r="W66" s="260"/>
      <c r="X66" s="258"/>
      <c r="Y66" s="258"/>
      <c r="Z66" s="258"/>
      <c r="AA66" s="258"/>
      <c r="AB66" s="258"/>
      <c r="AC66" s="258"/>
      <c r="AD66" s="258"/>
      <c r="AE66" s="258"/>
      <c r="AF66" s="258"/>
      <c r="AG66" s="258"/>
      <c r="AH66" s="258"/>
      <c r="AI66" s="258"/>
      <c r="AJ66" s="258"/>
      <c r="AK66" s="258"/>
      <c r="AL66" s="258"/>
    </row>
    <row r="67" spans="1:38" outlineLevel="2" x14ac:dyDescent="0.15">
      <c r="A67" s="202"/>
      <c r="B67" s="200"/>
      <c r="C67" s="204"/>
      <c r="D67" s="204"/>
      <c r="E67" s="204"/>
      <c r="F67" s="204"/>
      <c r="G67" s="204"/>
      <c r="H67" s="204"/>
      <c r="I67" s="204"/>
      <c r="J67" s="204"/>
      <c r="K67" s="204"/>
      <c r="L67" s="204"/>
      <c r="M67" s="143"/>
      <c r="N67" s="143"/>
      <c r="O67" s="143"/>
      <c r="P67" s="117"/>
      <c r="Q67" s="117"/>
      <c r="R67" s="117"/>
      <c r="S67" s="117"/>
      <c r="T67" s="117"/>
      <c r="U67" s="118"/>
      <c r="V67" s="119"/>
      <c r="W67" s="119"/>
      <c r="X67" s="117"/>
      <c r="Y67" s="117"/>
      <c r="Z67" s="117"/>
      <c r="AA67" s="149"/>
      <c r="AB67" s="117"/>
      <c r="AC67" s="120"/>
    </row>
    <row r="68" spans="1:38" ht="15" outlineLevel="2" x14ac:dyDescent="0.15">
      <c r="A68" s="202" t="s">
        <v>263</v>
      </c>
      <c r="B68" s="200" t="e">
        <f>#REF!/B$22</f>
        <v>#REF!</v>
      </c>
      <c r="C68" s="499">
        <v>-466.8</v>
      </c>
      <c r="D68" s="499">
        <v>-524</v>
      </c>
      <c r="E68" s="499">
        <v>-569.70000000000005</v>
      </c>
      <c r="F68" s="499">
        <v>-592.4</v>
      </c>
      <c r="G68" s="499">
        <v>-628</v>
      </c>
      <c r="H68" s="499">
        <v>-668</v>
      </c>
      <c r="I68" s="499">
        <v>-658.6</v>
      </c>
      <c r="J68" s="499">
        <v>-576.20000000000005</v>
      </c>
      <c r="K68" s="499">
        <v>-508.1</v>
      </c>
      <c r="L68" s="499">
        <v>-556.9</v>
      </c>
      <c r="M68" s="121">
        <f>M69*M11</f>
        <v>-582.00749599999995</v>
      </c>
      <c r="N68" s="121">
        <f t="shared" ref="N68:Q68" si="47">N69*N11</f>
        <v>-670.93208912</v>
      </c>
      <c r="O68" s="121">
        <f t="shared" si="47"/>
        <v>-692.10131741840007</v>
      </c>
      <c r="P68" s="121">
        <f t="shared" si="47"/>
        <v>-698.47463659258392</v>
      </c>
      <c r="Q68" s="121">
        <f t="shared" si="47"/>
        <v>-699.99343797897711</v>
      </c>
      <c r="R68" s="111"/>
      <c r="S68" s="111"/>
      <c r="T68" s="111"/>
      <c r="V68" s="119"/>
      <c r="W68" s="119"/>
      <c r="X68" s="117"/>
      <c r="Y68" s="117"/>
      <c r="Z68" s="117"/>
      <c r="AA68" s="149"/>
    </row>
    <row r="69" spans="1:38" ht="15" outlineLevel="2" x14ac:dyDescent="0.15">
      <c r="A69" s="205" t="s">
        <v>526</v>
      </c>
      <c r="B69" s="200"/>
      <c r="C69" s="501">
        <f>C68/C11</f>
        <v>-6.1222080868755496E-2</v>
      </c>
      <c r="D69" s="501">
        <f t="shared" ref="D69:L69" si="48">D68/D11</f>
        <v>-6.7203611552865139E-2</v>
      </c>
      <c r="E69" s="501">
        <f t="shared" si="48"/>
        <v>-7.0486489161635163E-2</v>
      </c>
      <c r="F69" s="501">
        <f t="shared" si="48"/>
        <v>-7.0880744702489909E-2</v>
      </c>
      <c r="G69" s="501">
        <f t="shared" si="48"/>
        <v>-7.3047888241383724E-2</v>
      </c>
      <c r="H69" s="501">
        <f t="shared" si="48"/>
        <v>-7.4337031637751641E-2</v>
      </c>
      <c r="I69" s="501">
        <f t="shared" si="48"/>
        <v>-7.0321175365166133E-2</v>
      </c>
      <c r="J69" s="501">
        <f t="shared" si="48"/>
        <v>-6.1441016837099204E-2</v>
      </c>
      <c r="K69" s="501">
        <f t="shared" si="48"/>
        <v>-5.3591393312941674E-2</v>
      </c>
      <c r="L69" s="501">
        <f t="shared" si="48"/>
        <v>-5.7869360101419458E-2</v>
      </c>
      <c r="M69" s="123">
        <v>-5.8000000000000003E-2</v>
      </c>
      <c r="N69" s="123">
        <v>-5.8000000000000003E-2</v>
      </c>
      <c r="O69" s="123">
        <v>-5.8000000000000003E-2</v>
      </c>
      <c r="P69" s="123">
        <v>-5.8000000000000003E-2</v>
      </c>
      <c r="Q69" s="123">
        <v>-5.8000000000000003E-2</v>
      </c>
      <c r="R69" s="111"/>
      <c r="S69" s="111"/>
      <c r="T69" s="111"/>
      <c r="V69" s="119"/>
      <c r="W69" s="119"/>
      <c r="X69" s="117"/>
      <c r="Y69" s="117"/>
      <c r="Z69" s="117"/>
      <c r="AA69" s="149"/>
    </row>
    <row r="70" spans="1:38" outlineLevel="2" x14ac:dyDescent="0.15">
      <c r="A70" s="205"/>
      <c r="B70" s="200"/>
      <c r="C70" s="500"/>
      <c r="D70" s="500"/>
      <c r="E70" s="500"/>
      <c r="F70" s="500"/>
      <c r="G70" s="500"/>
      <c r="H70" s="500"/>
      <c r="I70" s="500"/>
      <c r="J70" s="500"/>
      <c r="K70" s="500"/>
      <c r="L70" s="500"/>
      <c r="M70" s="144"/>
      <c r="N70" s="144"/>
      <c r="O70" s="144"/>
      <c r="P70" s="111"/>
      <c r="Q70" s="111"/>
      <c r="R70" s="111"/>
      <c r="S70" s="111"/>
      <c r="T70" s="111"/>
      <c r="V70" s="119"/>
      <c r="W70" s="119"/>
      <c r="X70" s="117"/>
      <c r="Y70" s="117"/>
      <c r="Z70" s="117"/>
      <c r="AA70" s="149"/>
    </row>
    <row r="71" spans="1:38" ht="15" outlineLevel="2" collapsed="1" x14ac:dyDescent="0.15">
      <c r="A71" s="202" t="s">
        <v>264</v>
      </c>
      <c r="B71" s="201"/>
      <c r="C71" s="198">
        <v>418.9</v>
      </c>
      <c r="D71" s="198">
        <v>440.8</v>
      </c>
      <c r="E71" s="198">
        <v>482.3</v>
      </c>
      <c r="F71" s="198">
        <v>493</v>
      </c>
      <c r="G71" s="198">
        <v>527.1</v>
      </c>
      <c r="H71" s="198">
        <v>565.5</v>
      </c>
      <c r="I71" s="198">
        <v>609.9</v>
      </c>
      <c r="J71" s="198">
        <v>606.1</v>
      </c>
      <c r="K71" s="198">
        <v>586.1</v>
      </c>
      <c r="L71" s="198">
        <v>591</v>
      </c>
      <c r="M71" s="121">
        <f>M72*M11</f>
        <v>622.14594399999999</v>
      </c>
      <c r="N71" s="121">
        <f t="shared" ref="N71:Q71" si="49">N72*N11</f>
        <v>722.5836681385498</v>
      </c>
      <c r="O71" s="121">
        <f t="shared" si="49"/>
        <v>745.38260544319314</v>
      </c>
      <c r="P71" s="121">
        <f t="shared" si="49"/>
        <v>746.64530118517587</v>
      </c>
      <c r="Q71" s="121">
        <f t="shared" si="49"/>
        <v>748.26884749476858</v>
      </c>
      <c r="R71" s="117"/>
      <c r="S71" s="117"/>
      <c r="T71" s="117"/>
      <c r="U71" s="118"/>
      <c r="V71" s="119"/>
      <c r="W71" s="119"/>
      <c r="X71" s="117"/>
      <c r="Y71" s="117"/>
      <c r="Z71" s="117"/>
      <c r="AA71" s="149"/>
      <c r="AB71" s="117"/>
      <c r="AC71" s="120"/>
    </row>
    <row r="72" spans="1:38" ht="15" outlineLevel="2" x14ac:dyDescent="0.15">
      <c r="A72" s="205" t="s">
        <v>526</v>
      </c>
      <c r="B72" s="201"/>
      <c r="C72" s="292">
        <f>C71/C11</f>
        <v>5.493986648655029E-2</v>
      </c>
      <c r="D72" s="292">
        <f t="shared" ref="D72:L72" si="50">D71/D11</f>
        <v>5.6533114451341508E-2</v>
      </c>
      <c r="E72" s="292">
        <f t="shared" si="50"/>
        <v>5.9672869444719397E-2</v>
      </c>
      <c r="F72" s="292">
        <f t="shared" si="50"/>
        <v>5.898752049008698E-2</v>
      </c>
      <c r="G72" s="292">
        <f t="shared" si="50"/>
        <v>6.1311372439543564E-2</v>
      </c>
      <c r="H72" s="292">
        <f t="shared" si="50"/>
        <v>6.2930526034653517E-2</v>
      </c>
      <c r="I72" s="292">
        <f t="shared" si="50"/>
        <v>6.5121294951738268E-2</v>
      </c>
      <c r="J72" s="292">
        <f t="shared" si="50"/>
        <v>6.4629295912818158E-2</v>
      </c>
      <c r="K72" s="292">
        <f t="shared" si="50"/>
        <v>6.1818373589283833E-2</v>
      </c>
      <c r="L72" s="292">
        <f t="shared" si="50"/>
        <v>6.1412806284681092E-2</v>
      </c>
      <c r="M72" s="123">
        <v>6.2E-2</v>
      </c>
      <c r="N72" s="123">
        <f>AVERAGE(J72:M72)</f>
        <v>6.246511894669577E-2</v>
      </c>
      <c r="O72" s="123">
        <f>N72</f>
        <v>6.246511894669577E-2</v>
      </c>
      <c r="P72" s="123">
        <v>6.2E-2</v>
      </c>
      <c r="Q72" s="123">
        <f t="shared" ref="Q72" si="51">P72</f>
        <v>6.2E-2</v>
      </c>
      <c r="R72" s="117"/>
      <c r="S72" s="117"/>
      <c r="T72" s="117"/>
      <c r="U72" s="118"/>
      <c r="V72" s="119"/>
      <c r="W72" s="119"/>
      <c r="X72" s="117"/>
      <c r="Y72" s="117"/>
      <c r="Z72" s="117"/>
      <c r="AA72" s="149"/>
      <c r="AB72" s="117"/>
      <c r="AC72" s="120"/>
    </row>
    <row r="73" spans="1:38" outlineLevel="2" x14ac:dyDescent="0.15">
      <c r="A73" s="202"/>
      <c r="B73" s="201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26"/>
      <c r="N73" s="126"/>
      <c r="O73" s="126"/>
      <c r="P73" s="117"/>
      <c r="Q73" s="117"/>
      <c r="R73" s="117"/>
      <c r="S73" s="117"/>
      <c r="T73" s="117"/>
      <c r="U73" s="118"/>
      <c r="V73" s="119"/>
      <c r="W73" s="119"/>
      <c r="X73" s="117"/>
      <c r="Y73" s="117"/>
      <c r="Z73" s="117"/>
      <c r="AA73" s="149"/>
      <c r="AB73" s="117"/>
      <c r="AC73" s="120"/>
    </row>
    <row r="74" spans="1:38" ht="15" outlineLevel="1" x14ac:dyDescent="0.15">
      <c r="A74" s="202" t="s">
        <v>265</v>
      </c>
      <c r="B74" s="122" t="e">
        <f>SUM(B53,#REF!,#REF!)</f>
        <v>#REF!</v>
      </c>
      <c r="C74" s="198">
        <v>751.5</v>
      </c>
      <c r="D74" s="198">
        <v>831.2</v>
      </c>
      <c r="E74" s="198">
        <v>813.4</v>
      </c>
      <c r="F74" s="198">
        <v>831.6</v>
      </c>
      <c r="G74" s="198">
        <v>862.9</v>
      </c>
      <c r="H74" s="198">
        <v>891.2</v>
      </c>
      <c r="I74" s="198">
        <v>971</v>
      </c>
      <c r="J74" s="198">
        <v>996.6</v>
      </c>
      <c r="K74" s="198">
        <v>1076</v>
      </c>
      <c r="L74" s="198">
        <v>1024</v>
      </c>
      <c r="M74" s="121">
        <f>M75*M37</f>
        <v>1057.9388236067493</v>
      </c>
      <c r="N74" s="121">
        <f>N75*N37</f>
        <v>1183.6782646452998</v>
      </c>
      <c r="O74" s="121">
        <f>O75*O37</f>
        <v>1223.5891148018056</v>
      </c>
      <c r="P74" s="121">
        <f>P75*P37</f>
        <v>1241.1092551176396</v>
      </c>
      <c r="Q74" s="121">
        <f>Q75*Q37</f>
        <v>1250.5462087909641</v>
      </c>
      <c r="R74" s="111"/>
      <c r="S74" s="111"/>
      <c r="T74" s="111"/>
      <c r="V74" s="119"/>
      <c r="W74" s="119"/>
      <c r="X74" s="117"/>
      <c r="Y74" s="117"/>
      <c r="Z74" s="117"/>
      <c r="AA74" s="149"/>
    </row>
    <row r="75" spans="1:38" ht="15" outlineLevel="1" x14ac:dyDescent="0.15">
      <c r="A75" s="205" t="s">
        <v>297</v>
      </c>
      <c r="B75" s="122"/>
      <c r="C75" s="292">
        <f t="shared" ref="C75:L75" si="52">C74/C37</f>
        <v>7.2478444534459813E-2</v>
      </c>
      <c r="D75" s="292">
        <f t="shared" si="52"/>
        <v>7.8977623640077918E-2</v>
      </c>
      <c r="E75" s="292">
        <f t="shared" si="52"/>
        <v>7.5796967748548646E-2</v>
      </c>
      <c r="F75" s="292">
        <f t="shared" si="52"/>
        <v>7.5281763454487852E-2</v>
      </c>
      <c r="G75" s="292">
        <f t="shared" si="52"/>
        <v>7.6452138781585577E-2</v>
      </c>
      <c r="H75" s="292">
        <f t="shared" si="52"/>
        <v>7.6837522093374147E-2</v>
      </c>
      <c r="I75" s="292">
        <f t="shared" si="52"/>
        <v>8.0924084707764868E-2</v>
      </c>
      <c r="J75" s="292">
        <f t="shared" si="52"/>
        <v>7.5717400718730288E-2</v>
      </c>
      <c r="K75" s="292">
        <f t="shared" si="52"/>
        <v>8.9563668447951522E-2</v>
      </c>
      <c r="L75" s="292">
        <f t="shared" si="52"/>
        <v>8.5397381369360356E-2</v>
      </c>
      <c r="M75" s="123">
        <v>8.5000000000000006E-2</v>
      </c>
      <c r="N75" s="123">
        <v>8.4000000000000005E-2</v>
      </c>
      <c r="O75" s="123">
        <f t="shared" ref="O75:Q75" si="53">N75</f>
        <v>8.4000000000000005E-2</v>
      </c>
      <c r="P75" s="123">
        <f t="shared" si="53"/>
        <v>8.4000000000000005E-2</v>
      </c>
      <c r="Q75" s="123">
        <f t="shared" si="53"/>
        <v>8.4000000000000005E-2</v>
      </c>
      <c r="R75" s="111"/>
      <c r="S75" s="111"/>
      <c r="T75" s="111"/>
      <c r="V75" s="119"/>
      <c r="W75" s="119"/>
      <c r="X75" s="117"/>
      <c r="Y75" s="117"/>
      <c r="Z75" s="117"/>
      <c r="AA75" s="149"/>
    </row>
    <row r="76" spans="1:38" ht="15" outlineLevel="1" x14ac:dyDescent="0.15">
      <c r="A76" s="205" t="s">
        <v>298</v>
      </c>
      <c r="B76" s="122"/>
      <c r="C76" s="292">
        <f t="shared" ref="C76:Q76" si="54">C74/C11</f>
        <v>9.8561254869044032E-2</v>
      </c>
      <c r="D76" s="292">
        <f t="shared" si="54"/>
        <v>0.10660237008156775</v>
      </c>
      <c r="E76" s="292">
        <f t="shared" si="54"/>
        <v>0.10063842423042661</v>
      </c>
      <c r="F76" s="292">
        <f t="shared" si="54"/>
        <v>9.9501058903765385E-2</v>
      </c>
      <c r="G76" s="292">
        <f t="shared" si="54"/>
        <v>0.10037105535587582</v>
      </c>
      <c r="H76" s="292">
        <f t="shared" si="54"/>
        <v>9.9175393107132123E-2</v>
      </c>
      <c r="I76" s="292">
        <f t="shared" si="54"/>
        <v>0.1036772870931921</v>
      </c>
      <c r="J76" s="292">
        <f t="shared" si="54"/>
        <v>0.1062688604301511</v>
      </c>
      <c r="K76" s="292">
        <f t="shared" si="54"/>
        <v>0.113490138171079</v>
      </c>
      <c r="L76" s="292">
        <f t="shared" si="54"/>
        <v>0.10640729887565725</v>
      </c>
      <c r="M76" s="293">
        <f t="shared" si="54"/>
        <v>0.10542897160415862</v>
      </c>
      <c r="N76" s="293">
        <f t="shared" si="54"/>
        <v>0.10232531796097824</v>
      </c>
      <c r="O76" s="293">
        <f t="shared" si="54"/>
        <v>0.10254014386682915</v>
      </c>
      <c r="P76" s="293">
        <f t="shared" si="54"/>
        <v>0.10305934249522525</v>
      </c>
      <c r="Q76" s="293">
        <f t="shared" si="54"/>
        <v>0.10361765721588702</v>
      </c>
      <c r="R76" s="111"/>
      <c r="S76" s="111"/>
      <c r="T76" s="111"/>
      <c r="V76" s="119"/>
      <c r="W76" s="119"/>
      <c r="X76" s="117"/>
      <c r="Y76" s="117"/>
      <c r="Z76" s="117"/>
      <c r="AA76" s="149"/>
    </row>
    <row r="77" spans="1:38" outlineLevel="1" x14ac:dyDescent="0.15">
      <c r="A77" s="205"/>
      <c r="B77" s="122"/>
      <c r="C77" s="292"/>
      <c r="D77" s="292"/>
      <c r="E77" s="292"/>
      <c r="F77" s="292"/>
      <c r="G77" s="292"/>
      <c r="H77" s="292"/>
      <c r="I77" s="292"/>
      <c r="J77" s="292"/>
      <c r="K77" s="292"/>
      <c r="L77" s="292"/>
      <c r="M77" s="293"/>
      <c r="N77" s="293"/>
      <c r="O77" s="293"/>
      <c r="P77" s="293"/>
      <c r="Q77" s="293"/>
      <c r="R77" s="111"/>
      <c r="S77" s="111"/>
      <c r="T77" s="111"/>
      <c r="V77" s="119"/>
      <c r="W77" s="119"/>
      <c r="X77" s="117"/>
      <c r="Y77" s="117"/>
      <c r="Z77" s="117"/>
      <c r="AA77" s="149"/>
    </row>
    <row r="78" spans="1:38" ht="15" outlineLevel="1" x14ac:dyDescent="0.15">
      <c r="A78" s="202" t="s">
        <v>273</v>
      </c>
      <c r="B78" s="122"/>
      <c r="C78" s="292"/>
      <c r="D78" s="292">
        <f t="shared" ref="D78:Q78" si="55">D53/D11</f>
        <v>0.93761863232955422</v>
      </c>
      <c r="E78" s="292">
        <f t="shared" si="55"/>
        <v>0.83920617638325257</v>
      </c>
      <c r="F78" s="292">
        <f t="shared" si="55"/>
        <v>0.83058736255189825</v>
      </c>
      <c r="G78" s="292">
        <f t="shared" si="55"/>
        <v>0.82070698258715147</v>
      </c>
      <c r="H78" s="292">
        <f t="shared" si="55"/>
        <v>0.89253402477159161</v>
      </c>
      <c r="I78" s="292">
        <f t="shared" si="55"/>
        <v>0.8003971982574527</v>
      </c>
      <c r="J78" s="292">
        <f t="shared" si="55"/>
        <v>0.95679295379661122</v>
      </c>
      <c r="K78" s="292">
        <f t="shared" si="55"/>
        <v>0.80145554266427599</v>
      </c>
      <c r="L78" s="292">
        <f t="shared" si="55"/>
        <v>0.72081592784255044</v>
      </c>
      <c r="M78" s="293">
        <f t="shared" si="55"/>
        <v>0.69369649768222241</v>
      </c>
      <c r="N78" s="293">
        <f t="shared" si="55"/>
        <v>0.65273110830397663</v>
      </c>
      <c r="O78" s="293">
        <f t="shared" si="55"/>
        <v>0.65070606701519196</v>
      </c>
      <c r="P78" s="293">
        <f t="shared" si="55"/>
        <v>0.65051058849073429</v>
      </c>
      <c r="Q78" s="293">
        <f t="shared" si="55"/>
        <v>0.65105191479971325</v>
      </c>
      <c r="R78" s="111"/>
      <c r="S78" s="111"/>
      <c r="T78" s="111"/>
      <c r="V78" s="119"/>
      <c r="W78" s="119"/>
      <c r="X78" s="117"/>
      <c r="Y78" s="117"/>
      <c r="Z78" s="117"/>
      <c r="AA78" s="149"/>
    </row>
    <row r="79" spans="1:38" ht="15" outlineLevel="1" x14ac:dyDescent="0.15">
      <c r="A79" s="202" t="s">
        <v>384</v>
      </c>
      <c r="B79" s="122"/>
      <c r="C79" s="292"/>
      <c r="D79" s="292">
        <f t="shared" ref="D79:Q79" si="56">(D74+D71+D68+D62)/D11</f>
        <v>0.32116657261581077</v>
      </c>
      <c r="E79" s="292">
        <f t="shared" si="56"/>
        <v>0.31641591606453529</v>
      </c>
      <c r="F79" s="292">
        <f t="shared" si="56"/>
        <v>0.31001352046615693</v>
      </c>
      <c r="G79" s="292">
        <f t="shared" si="56"/>
        <v>0.31024415209780037</v>
      </c>
      <c r="H79" s="292">
        <f t="shared" si="56"/>
        <v>0.3097005374968006</v>
      </c>
      <c r="I79" s="292">
        <f t="shared" si="56"/>
        <v>0.3142671051507645</v>
      </c>
      <c r="J79" s="292">
        <f t="shared" si="56"/>
        <v>0.3238395837109862</v>
      </c>
      <c r="K79" s="292">
        <f t="shared" si="56"/>
        <v>0.33406813627254511</v>
      </c>
      <c r="L79" s="292">
        <f t="shared" si="56"/>
        <v>0.33605586383190972</v>
      </c>
      <c r="M79" s="293">
        <f t="shared" si="56"/>
        <v>0.33942897160415864</v>
      </c>
      <c r="N79" s="293">
        <f t="shared" si="56"/>
        <v>0.33679043690767402</v>
      </c>
      <c r="O79" s="293">
        <f t="shared" si="56"/>
        <v>0.33700526281352494</v>
      </c>
      <c r="P79" s="293">
        <f t="shared" si="56"/>
        <v>0.34705934249522519</v>
      </c>
      <c r="Q79" s="293">
        <f t="shared" si="56"/>
        <v>0.34761765721588705</v>
      </c>
      <c r="R79" s="111"/>
      <c r="S79" s="111"/>
      <c r="T79" s="111"/>
      <c r="V79" s="119"/>
      <c r="W79" s="119"/>
      <c r="X79" s="117"/>
      <c r="Y79" s="117"/>
      <c r="Z79" s="117"/>
      <c r="AA79" s="149"/>
    </row>
    <row r="80" spans="1:38" ht="15" outlineLevel="1" x14ac:dyDescent="0.15">
      <c r="A80" s="202" t="s">
        <v>346</v>
      </c>
      <c r="B80" s="122"/>
      <c r="C80" s="292"/>
      <c r="D80" s="292">
        <f>D78+D79</f>
        <v>1.2587852049453649</v>
      </c>
      <c r="E80" s="292">
        <f t="shared" ref="E80:Q80" si="57">E78+E79</f>
        <v>1.1556220924477878</v>
      </c>
      <c r="F80" s="292">
        <f t="shared" si="57"/>
        <v>1.1406008830180552</v>
      </c>
      <c r="G80" s="292">
        <f t="shared" si="57"/>
        <v>1.1309511346849519</v>
      </c>
      <c r="H80" s="292">
        <f t="shared" si="57"/>
        <v>1.2022345622683921</v>
      </c>
      <c r="I80" s="292">
        <f t="shared" si="57"/>
        <v>1.1146643034082171</v>
      </c>
      <c r="J80" s="292">
        <f t="shared" si="57"/>
        <v>1.2806325375075973</v>
      </c>
      <c r="K80" s="292">
        <f t="shared" si="57"/>
        <v>1.135523678936821</v>
      </c>
      <c r="L80" s="292">
        <f t="shared" si="57"/>
        <v>1.0568717916744601</v>
      </c>
      <c r="M80" s="293">
        <f t="shared" si="57"/>
        <v>1.0331254692863809</v>
      </c>
      <c r="N80" s="293">
        <f t="shared" si="57"/>
        <v>0.98952154521165059</v>
      </c>
      <c r="O80" s="293">
        <f t="shared" si="57"/>
        <v>0.9877113298287169</v>
      </c>
      <c r="P80" s="293">
        <f t="shared" si="57"/>
        <v>0.99756993098595947</v>
      </c>
      <c r="Q80" s="293">
        <f t="shared" si="57"/>
        <v>0.99866957201560025</v>
      </c>
      <c r="R80" s="111"/>
      <c r="S80" s="111"/>
      <c r="T80" s="111"/>
      <c r="V80" s="119"/>
      <c r="W80" s="119"/>
      <c r="X80" s="117"/>
      <c r="Y80" s="117"/>
      <c r="Z80" s="117"/>
      <c r="AA80" s="149"/>
    </row>
    <row r="81" spans="1:38" outlineLevel="1" x14ac:dyDescent="0.15">
      <c r="A81" s="128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26"/>
      <c r="N81" s="126"/>
      <c r="O81" s="126"/>
      <c r="P81" s="117"/>
      <c r="Q81" s="117"/>
      <c r="R81" s="117"/>
      <c r="S81" s="117"/>
      <c r="T81" s="117"/>
      <c r="U81" s="118"/>
      <c r="V81" s="119"/>
      <c r="W81" s="119"/>
      <c r="X81" s="117"/>
      <c r="Y81" s="117"/>
      <c r="Z81" s="117"/>
      <c r="AA81" s="149"/>
      <c r="AB81" s="117"/>
      <c r="AC81" s="120"/>
    </row>
    <row r="82" spans="1:38" outlineLevel="1" x14ac:dyDescent="0.15">
      <c r="M82" s="143"/>
      <c r="N82" s="143"/>
      <c r="O82" s="143"/>
      <c r="P82" s="117"/>
      <c r="Q82" s="117"/>
      <c r="R82" s="117"/>
      <c r="S82" s="117"/>
      <c r="T82" s="117"/>
      <c r="U82" s="118"/>
      <c r="V82" s="119"/>
      <c r="W82" s="119"/>
      <c r="X82" s="117"/>
      <c r="Y82" s="117"/>
      <c r="Z82" s="117"/>
      <c r="AA82" s="149"/>
      <c r="AB82" s="117"/>
      <c r="AC82" s="120"/>
    </row>
    <row r="83" spans="1:38" outlineLevel="1" x14ac:dyDescent="0.15"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44"/>
      <c r="N83" s="144"/>
      <c r="O83" s="144"/>
      <c r="P83" s="117"/>
      <c r="Q83" s="117"/>
      <c r="R83" s="117"/>
      <c r="S83" s="117"/>
      <c r="T83" s="117"/>
      <c r="U83" s="118"/>
      <c r="V83" s="119"/>
      <c r="W83" s="119"/>
      <c r="X83" s="117"/>
      <c r="Y83" s="117"/>
      <c r="Z83" s="117"/>
      <c r="AA83" s="149"/>
      <c r="AB83" s="117"/>
      <c r="AC83" s="120"/>
    </row>
    <row r="84" spans="1:38" outlineLevel="2" x14ac:dyDescent="0.15">
      <c r="A84" s="128"/>
      <c r="B84" s="114"/>
      <c r="C84" s="126"/>
      <c r="D84" s="126"/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17"/>
      <c r="R84" s="117"/>
      <c r="S84" s="117"/>
      <c r="T84" s="117"/>
      <c r="U84" s="118"/>
      <c r="V84" s="119"/>
      <c r="W84" s="119"/>
      <c r="X84" s="117"/>
      <c r="Y84" s="117"/>
      <c r="Z84" s="117"/>
      <c r="AA84" s="149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</row>
    <row r="85" spans="1:38" outlineLevel="2" x14ac:dyDescent="0.15">
      <c r="A85" s="128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27"/>
      <c r="N85" s="127"/>
      <c r="O85" s="127"/>
      <c r="P85" s="117"/>
      <c r="Q85" s="117"/>
      <c r="R85" s="117"/>
      <c r="S85" s="117"/>
      <c r="T85" s="117"/>
      <c r="U85" s="118"/>
      <c r="V85" s="119"/>
      <c r="W85" s="119"/>
      <c r="X85" s="117"/>
      <c r="Y85" s="117"/>
      <c r="Z85" s="117"/>
      <c r="AA85" s="149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</row>
    <row r="86" spans="1:38" outlineLevel="2" x14ac:dyDescent="0.15"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7"/>
      <c r="Q86" s="117"/>
      <c r="R86" s="117"/>
      <c r="S86" s="117"/>
      <c r="T86" s="117"/>
      <c r="U86" s="118"/>
      <c r="V86" s="119"/>
      <c r="W86" s="119"/>
      <c r="X86" s="117"/>
      <c r="Y86" s="117"/>
      <c r="Z86" s="117"/>
      <c r="AA86" s="117"/>
      <c r="AB86" s="117"/>
      <c r="AC86" s="117"/>
      <c r="AD86" s="117"/>
      <c r="AE86" s="117"/>
      <c r="AF86" s="117"/>
      <c r="AG86" s="117"/>
      <c r="AH86" s="117"/>
      <c r="AI86" s="117"/>
      <c r="AJ86" s="117"/>
      <c r="AK86" s="117"/>
      <c r="AL86" s="117"/>
    </row>
    <row r="87" spans="1:38" outlineLevel="2" x14ac:dyDescent="0.15">
      <c r="A87" s="78" t="s">
        <v>81</v>
      </c>
      <c r="B87" s="142" t="e">
        <f>SUM(B74,#REF!,#REF!,#REF!,#REF!)</f>
        <v>#REF!</v>
      </c>
      <c r="C87" s="142">
        <f t="shared" ref="C87:Q87" si="58">C74+C71+C68+C62+C53</f>
        <v>8999.2000000000007</v>
      </c>
      <c r="D87" s="142">
        <f t="shared" si="58"/>
        <v>9815</v>
      </c>
      <c r="E87" s="142">
        <f t="shared" si="58"/>
        <v>9340.2000000000007</v>
      </c>
      <c r="F87" s="142">
        <f t="shared" si="58"/>
        <v>9532.7999999999993</v>
      </c>
      <c r="G87" s="142">
        <f t="shared" si="58"/>
        <v>9722.9</v>
      </c>
      <c r="H87" s="142">
        <f t="shared" si="58"/>
        <v>10803.4</v>
      </c>
      <c r="I87" s="142">
        <f t="shared" si="58"/>
        <v>10439.5</v>
      </c>
      <c r="J87" s="142">
        <f t="shared" si="58"/>
        <v>12009.9</v>
      </c>
      <c r="K87" s="142">
        <f t="shared" si="58"/>
        <v>10765.900000000001</v>
      </c>
      <c r="L87" s="142">
        <f t="shared" si="58"/>
        <v>10170.700000000001</v>
      </c>
      <c r="M87" s="126">
        <f t="shared" si="58"/>
        <v>10367.01323160675</v>
      </c>
      <c r="N87" s="126">
        <f t="shared" si="58"/>
        <v>11446.582026863851</v>
      </c>
      <c r="O87" s="126">
        <f t="shared" si="58"/>
        <v>11786.1433207506</v>
      </c>
      <c r="P87" s="126">
        <f t="shared" si="58"/>
        <v>12013.40163829495</v>
      </c>
      <c r="Q87" s="126">
        <f t="shared" si="58"/>
        <v>12052.79564000334</v>
      </c>
      <c r="R87" s="117"/>
      <c r="S87" s="117"/>
      <c r="T87" s="117"/>
      <c r="U87" s="118"/>
      <c r="V87" s="119"/>
      <c r="W87" s="119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7"/>
      <c r="AL87" s="117"/>
    </row>
    <row r="88" spans="1:38" outlineLevel="2" x14ac:dyDescent="0.15">
      <c r="A88" s="108"/>
      <c r="B88" s="142"/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8"/>
      <c r="N88" s="148"/>
      <c r="O88" s="148"/>
      <c r="P88" s="117"/>
      <c r="Q88" s="117"/>
      <c r="R88" s="117"/>
      <c r="S88" s="117"/>
      <c r="T88" s="117"/>
      <c r="U88" s="118"/>
      <c r="V88" s="119"/>
      <c r="W88" s="119"/>
      <c r="X88" s="117"/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17"/>
      <c r="AJ88" s="117"/>
      <c r="AK88" s="117"/>
      <c r="AL88" s="117"/>
    </row>
    <row r="89" spans="1:38" outlineLevel="2" x14ac:dyDescent="0.15">
      <c r="A89" s="78" t="str">
        <f>"Reconcile "&amp;A92&amp;" with"&amp;" above"</f>
        <v>Reconcile Total Expenses (Historical are Broker Actual) with above</v>
      </c>
      <c r="B89" s="133"/>
      <c r="C89" s="133">
        <f>C92-C87</f>
        <v>42.389999999999418</v>
      </c>
      <c r="D89" s="133">
        <f t="shared" ref="D89:K89" si="59">D92-D87</f>
        <v>-760.19999999999891</v>
      </c>
      <c r="E89" s="133">
        <f>E92-E87</f>
        <v>97.099999999998545</v>
      </c>
      <c r="F89" s="133">
        <f t="shared" si="59"/>
        <v>174.10000000000036</v>
      </c>
      <c r="G89" s="133">
        <f t="shared" si="59"/>
        <v>140.60000000000036</v>
      </c>
      <c r="H89" s="133">
        <f t="shared" si="59"/>
        <v>127.80000000000109</v>
      </c>
      <c r="I89" s="133">
        <f t="shared" si="59"/>
        <v>134.19999999999891</v>
      </c>
      <c r="J89" s="133">
        <f t="shared" si="59"/>
        <v>147.20000000000073</v>
      </c>
      <c r="K89" s="133">
        <f t="shared" si="59"/>
        <v>261.59999999999854</v>
      </c>
      <c r="L89" s="133">
        <f>L92-L87</f>
        <v>373.29999999999927</v>
      </c>
      <c r="M89" s="151"/>
      <c r="N89" s="151"/>
      <c r="O89" s="151"/>
      <c r="P89" s="117"/>
      <c r="Q89" s="117"/>
      <c r="R89" s="117"/>
      <c r="S89" s="117"/>
      <c r="T89" s="117"/>
      <c r="U89" s="118"/>
      <c r="V89" s="119"/>
      <c r="W89" s="119"/>
      <c r="X89" s="117"/>
      <c r="Y89" s="117"/>
      <c r="Z89" s="117"/>
      <c r="AA89" s="117"/>
      <c r="AB89" s="117"/>
      <c r="AC89" s="117"/>
      <c r="AD89" s="117"/>
      <c r="AE89" s="117"/>
      <c r="AF89" s="117"/>
      <c r="AG89" s="117"/>
      <c r="AH89" s="117"/>
      <c r="AI89" s="117"/>
      <c r="AJ89" s="117"/>
      <c r="AK89" s="117"/>
      <c r="AL89" s="117"/>
    </row>
    <row r="90" spans="1:38" outlineLevel="2" x14ac:dyDescent="0.15">
      <c r="A90" s="128" t="s">
        <v>267</v>
      </c>
      <c r="C90" s="138">
        <f>C89/C87</f>
        <v>4.7104187038847249E-3</v>
      </c>
      <c r="D90" s="138">
        <f t="shared" ref="D90:L90" si="60">D89/D87</f>
        <v>-7.7452878247580126E-2</v>
      </c>
      <c r="E90" s="138">
        <f t="shared" si="60"/>
        <v>1.0395922999507349E-2</v>
      </c>
      <c r="F90" s="138">
        <f t="shared" si="60"/>
        <v>1.8263259483048043E-2</v>
      </c>
      <c r="G90" s="138">
        <f t="shared" si="60"/>
        <v>1.4460706167912904E-2</v>
      </c>
      <c r="H90" s="138">
        <f t="shared" si="60"/>
        <v>1.1829609197104716E-2</v>
      </c>
      <c r="I90" s="138">
        <f t="shared" si="60"/>
        <v>1.2855021792231323E-2</v>
      </c>
      <c r="J90" s="138">
        <f t="shared" si="60"/>
        <v>1.2256555008784481E-2</v>
      </c>
      <c r="K90" s="138">
        <f t="shared" si="60"/>
        <v>2.429894388764511E-2</v>
      </c>
      <c r="L90" s="138">
        <f t="shared" si="60"/>
        <v>3.6703471737441797E-2</v>
      </c>
      <c r="M90" s="150"/>
      <c r="N90" s="150"/>
      <c r="O90" s="150"/>
      <c r="P90" s="117"/>
      <c r="Q90" s="117"/>
      <c r="R90" s="117"/>
      <c r="S90" s="117"/>
      <c r="T90" s="117"/>
      <c r="U90" s="118"/>
      <c r="V90" s="119"/>
      <c r="W90" s="119"/>
      <c r="X90" s="117"/>
      <c r="Y90" s="117"/>
      <c r="Z90" s="117"/>
      <c r="AA90" s="117"/>
      <c r="AB90" s="117"/>
      <c r="AC90" s="117"/>
      <c r="AD90" s="117"/>
      <c r="AE90" s="117"/>
      <c r="AF90" s="117"/>
      <c r="AG90" s="117"/>
      <c r="AH90" s="117"/>
      <c r="AI90" s="117"/>
      <c r="AJ90" s="117"/>
      <c r="AK90" s="117"/>
      <c r="AL90" s="117"/>
    </row>
    <row r="91" spans="1:38" outlineLevel="2" x14ac:dyDescent="0.15">
      <c r="A91" s="125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42"/>
      <c r="N91" s="142"/>
      <c r="O91" s="142"/>
      <c r="P91" s="117"/>
      <c r="Q91" s="117"/>
      <c r="R91" s="117"/>
      <c r="S91" s="117"/>
      <c r="T91" s="117"/>
      <c r="U91" s="118"/>
      <c r="V91" s="119"/>
      <c r="W91" s="119"/>
      <c r="X91" s="117"/>
      <c r="Y91" s="117"/>
      <c r="Z91" s="117"/>
      <c r="AA91" s="117"/>
      <c r="AB91" s="117"/>
      <c r="AC91" s="117"/>
      <c r="AD91" s="117"/>
      <c r="AE91" s="117"/>
      <c r="AF91" s="117"/>
      <c r="AG91" s="117"/>
      <c r="AH91" s="117"/>
      <c r="AI91" s="117"/>
      <c r="AJ91" s="117"/>
      <c r="AK91" s="117"/>
      <c r="AL91" s="117"/>
    </row>
    <row r="92" spans="1:38" outlineLevel="2" x14ac:dyDescent="0.15">
      <c r="A92" s="108" t="str">
        <f>"Total Expenses (Historical are "&amp;B2&amp;")"</f>
        <v>Total Expenses (Historical are Broker Actual)</v>
      </c>
      <c r="B92" s="140">
        <f t="shared" ref="B92:L92" si="61">B49-B94</f>
        <v>9275.6999999999989</v>
      </c>
      <c r="C92" s="140">
        <f t="shared" si="61"/>
        <v>9041.59</v>
      </c>
      <c r="D92" s="140">
        <f t="shared" si="61"/>
        <v>9054.8000000000011</v>
      </c>
      <c r="E92" s="140">
        <f t="shared" si="61"/>
        <v>9437.2999999999993</v>
      </c>
      <c r="F92" s="140">
        <f t="shared" si="61"/>
        <v>9706.9</v>
      </c>
      <c r="G92" s="140">
        <f t="shared" si="61"/>
        <v>9863.5</v>
      </c>
      <c r="H92" s="140">
        <f t="shared" si="61"/>
        <v>10931.2</v>
      </c>
      <c r="I92" s="140">
        <f t="shared" si="61"/>
        <v>10573.699999999999</v>
      </c>
      <c r="J92" s="140">
        <f t="shared" si="61"/>
        <v>12157.1</v>
      </c>
      <c r="K92" s="140">
        <f t="shared" si="61"/>
        <v>11027.5</v>
      </c>
      <c r="L92" s="140">
        <f t="shared" si="61"/>
        <v>10544</v>
      </c>
      <c r="M92" s="134">
        <f>M87+M89</f>
        <v>10367.01323160675</v>
      </c>
      <c r="N92" s="134">
        <f t="shared" ref="N92:Q92" si="62">N87+N89</f>
        <v>11446.582026863851</v>
      </c>
      <c r="O92" s="134">
        <f t="shared" si="62"/>
        <v>11786.1433207506</v>
      </c>
      <c r="P92" s="134">
        <f>P87+P89</f>
        <v>12013.40163829495</v>
      </c>
      <c r="Q92" s="134">
        <f t="shared" si="62"/>
        <v>12052.79564000334</v>
      </c>
      <c r="R92" s="117"/>
      <c r="S92" s="117"/>
      <c r="T92" s="117"/>
      <c r="U92" s="118"/>
      <c r="V92" s="119"/>
      <c r="W92" s="119"/>
      <c r="X92" s="117"/>
      <c r="Y92" s="117"/>
      <c r="Z92" s="117"/>
      <c r="AA92" s="117"/>
      <c r="AB92" s="117"/>
      <c r="AC92" s="117"/>
      <c r="AD92" s="117"/>
      <c r="AE92" s="117"/>
      <c r="AF92" s="117"/>
      <c r="AG92" s="117"/>
      <c r="AH92" s="117"/>
      <c r="AI92" s="117"/>
      <c r="AJ92" s="117"/>
      <c r="AK92" s="117"/>
      <c r="AL92" s="117"/>
    </row>
    <row r="93" spans="1:38" outlineLevel="2" x14ac:dyDescent="0.15"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50"/>
      <c r="N93" s="150"/>
      <c r="O93" s="150"/>
      <c r="P93" s="117"/>
      <c r="Q93" s="117"/>
      <c r="R93" s="117"/>
      <c r="S93" s="117"/>
      <c r="T93" s="117"/>
      <c r="U93" s="118"/>
      <c r="V93" s="119"/>
      <c r="W93" s="119"/>
      <c r="X93" s="117"/>
      <c r="Y93" s="117"/>
      <c r="Z93" s="117"/>
      <c r="AA93" s="117"/>
      <c r="AB93" s="117"/>
      <c r="AC93" s="117"/>
      <c r="AD93" s="117"/>
      <c r="AE93" s="117"/>
      <c r="AF93" s="117"/>
      <c r="AG93" s="117"/>
      <c r="AH93" s="117"/>
      <c r="AI93" s="117"/>
      <c r="AJ93" s="117"/>
      <c r="AK93" s="117"/>
      <c r="AL93" s="117"/>
    </row>
    <row r="94" spans="1:38" outlineLevel="2" x14ac:dyDescent="0.15">
      <c r="A94" s="108" t="s">
        <v>82</v>
      </c>
      <c r="B94" s="140">
        <f>CHOOSE(IF($B$1=2,2,1),'GAAP-IFRS'!E15,IF('Broker Actual'!E15="-",'GAAP-IFRS'!E15,'Broker Actual'!E15))</f>
        <v>1239.7</v>
      </c>
      <c r="C94" s="140">
        <f>CHOOSE(IF($B$1=2,2,1),'GAAP-IFRS'!F15,IF('Broker Actual'!F15="-",'GAAP-IFRS'!F15,'Broker Actual'!F15))</f>
        <v>1312.21</v>
      </c>
      <c r="D94" s="140">
        <f>CHOOSE(IF($B$1=2,2,1),'GAAP-IFRS'!G15,IF('Broker Actual'!G15="-",'GAAP-IFRS'!G15,'Broker Actual'!G15))</f>
        <v>1454.9</v>
      </c>
      <c r="E94" s="140">
        <f>CHOOSE(IF($B$1=2,2,1),'GAAP-IFRS'!H15,IF('Broker Actual'!H15="-",'GAAP-IFRS'!H15,'Broker Actual'!H15))</f>
        <v>1294</v>
      </c>
      <c r="F94" s="140">
        <f>CHOOSE(IF($B$1=2,2,1),'GAAP-IFRS'!I15,IF('Broker Actual'!I15="-",'GAAP-IFRS'!I15,'Broker Actual'!I15))</f>
        <v>1339.6</v>
      </c>
      <c r="G94" s="140">
        <f>CHOOSE(IF($B$1=2,2,1),'GAAP-IFRS'!J15,IF('Broker Actual'!J15="-",'GAAP-IFRS'!J15,'Broker Actual'!J15))</f>
        <v>1423.3</v>
      </c>
      <c r="H94" s="140">
        <f>CHOOSE(IF($B$1=2,2,1),'GAAP-IFRS'!K15,IF('Broker Actual'!K15="-",'GAAP-IFRS'!K15,'Broker Actual'!K15))</f>
        <v>667.3</v>
      </c>
      <c r="I94" s="140">
        <f>CHOOSE(IF($B$1=2,2,1),'GAAP-IFRS'!L15,IF('Broker Actual'!L15="-",'GAAP-IFRS'!L15,'Broker Actual'!L15))</f>
        <v>1425.2</v>
      </c>
      <c r="J94" s="140">
        <f>CHOOSE(IF($B$1=2,2,1),'GAAP-IFRS'!M15,IF('Broker Actual'!M15="-",'GAAP-IFRS'!M15,'Broker Actual'!M15))</f>
        <v>1005</v>
      </c>
      <c r="K94" s="140">
        <f>CHOOSE(IF($B$1=2,2,1),'GAAP-IFRS'!N15,IF('Broker Actual'!N15="-",'GAAP-IFRS'!N15,'Broker Actual'!N15))</f>
        <v>986.3</v>
      </c>
      <c r="L94" s="140">
        <f>CHOOSE(IF($B$1=2,2,1),'GAAP-IFRS'!O15,IF('Broker Actual'!O15="-",'GAAP-IFRS'!O15,'Broker Actual'!O15))</f>
        <v>1447</v>
      </c>
      <c r="M94" s="142">
        <f>M49-M92</f>
        <v>2079.3258696491248</v>
      </c>
      <c r="N94" s="142">
        <f>N49-N92</f>
        <v>2644.8258855801923</v>
      </c>
      <c r="O94" s="142">
        <f>O49-O92</f>
        <v>2780.3937602232763</v>
      </c>
      <c r="P94" s="142">
        <f>P49-P92</f>
        <v>2761.7085416769496</v>
      </c>
      <c r="Q94" s="142">
        <f>Q49-Q92</f>
        <v>2834.6592265557556</v>
      </c>
      <c r="R94" s="142"/>
      <c r="S94" s="117"/>
      <c r="T94" s="117"/>
      <c r="U94" s="118"/>
      <c r="V94" s="119"/>
      <c r="W94" s="119"/>
      <c r="X94" s="117"/>
      <c r="Y94" s="117"/>
      <c r="Z94" s="117"/>
      <c r="AA94" s="75"/>
      <c r="AB94" s="117"/>
      <c r="AC94" s="117"/>
      <c r="AD94" s="117"/>
      <c r="AE94" s="117"/>
      <c r="AF94" s="117"/>
      <c r="AG94" s="117"/>
      <c r="AH94" s="117"/>
      <c r="AI94" s="117"/>
      <c r="AJ94" s="117"/>
      <c r="AK94" s="117"/>
      <c r="AL94" s="117"/>
    </row>
    <row r="95" spans="1:38" outlineLevel="2" x14ac:dyDescent="0.15">
      <c r="A95" s="128" t="s">
        <v>74</v>
      </c>
      <c r="B95" s="117"/>
      <c r="C95" s="138">
        <f>C94/B94-1</f>
        <v>5.8489957247721103E-2</v>
      </c>
      <c r="D95" s="138">
        <f t="shared" ref="D95:L95" si="63">D94/C94-1</f>
        <v>0.10874021688601676</v>
      </c>
      <c r="E95" s="138">
        <f t="shared" si="63"/>
        <v>-0.11059179325039525</v>
      </c>
      <c r="F95" s="138">
        <f t="shared" si="63"/>
        <v>3.5239567233384728E-2</v>
      </c>
      <c r="G95" s="138">
        <f t="shared" si="63"/>
        <v>6.2481337712750218E-2</v>
      </c>
      <c r="H95" s="138">
        <f t="shared" si="63"/>
        <v>-0.53115998032740808</v>
      </c>
      <c r="I95" s="138">
        <f t="shared" si="63"/>
        <v>1.1357710175333438</v>
      </c>
      <c r="J95" s="138">
        <f t="shared" si="63"/>
        <v>-0.29483581251754143</v>
      </c>
      <c r="K95" s="138">
        <f t="shared" si="63"/>
        <v>-1.8606965174129408E-2</v>
      </c>
      <c r="L95" s="138">
        <f t="shared" si="63"/>
        <v>0.46709925986008316</v>
      </c>
      <c r="M95" s="138">
        <f>M94/L94-1</f>
        <v>0.43699092581141996</v>
      </c>
      <c r="N95" s="138">
        <f t="shared" ref="N95:Q95" si="64">N94/M94-1</f>
        <v>0.27196315122385917</v>
      </c>
      <c r="O95" s="138">
        <f t="shared" si="64"/>
        <v>5.125776913414648E-2</v>
      </c>
      <c r="P95" s="138">
        <f t="shared" si="64"/>
        <v>-6.720349762555311E-3</v>
      </c>
      <c r="Q95" s="138">
        <f t="shared" si="64"/>
        <v>2.6415055672206922E-2</v>
      </c>
      <c r="R95" s="117"/>
      <c r="S95" s="117"/>
      <c r="T95" s="117"/>
      <c r="U95" s="118"/>
      <c r="V95" s="119" t="s">
        <v>78</v>
      </c>
      <c r="W95" s="119" t="s">
        <v>83</v>
      </c>
      <c r="X95" s="117" cm="1">
        <f t="array" ref="X95">_xll.FDSC("--",$A$1,""&amp;$V95&amp;"("&amp;$W95&amp;","&amp;D$2&amp;",ANNUAL_ROLL,+1,0,,,'CURRENCY="&amp;$E$1&amp;"')")</f>
        <v>1779.7343000000001</v>
      </c>
      <c r="Y95" s="117" cm="1">
        <f t="array" ref="Y95">_xll.FDSC("--",$A$1,""&amp;$V95&amp;"("&amp;$W95&amp;","&amp;D$2&amp;",ANNUAL_ROLL,+2,0,,,'CURRENCY="&amp;$E$1&amp;"')")</f>
        <v>1892.9899</v>
      </c>
      <c r="Z95" s="117" cm="1">
        <f t="array" ref="Z95">_xll.FDSC("--",$A$1,""&amp;$V95&amp;"("&amp;$W95&amp;","&amp;D$2&amp;",ANNUAL_ROLL,+3,0,,,'CURRENCY="&amp;$E$1&amp;"')")</f>
        <v>1931.6980000000001</v>
      </c>
      <c r="AA95" s="117"/>
      <c r="AB95" s="117"/>
      <c r="AC95" s="117"/>
      <c r="AD95" s="117"/>
      <c r="AE95" s="117"/>
      <c r="AF95" s="117"/>
      <c r="AG95" s="117"/>
      <c r="AH95" s="117"/>
      <c r="AI95" s="117"/>
      <c r="AJ95" s="117"/>
      <c r="AK95" s="117"/>
      <c r="AL95" s="117"/>
    </row>
    <row r="96" spans="1:38" s="108" customFormat="1" outlineLevel="2" x14ac:dyDescent="0.15">
      <c r="A96" s="108" t="s">
        <v>84</v>
      </c>
      <c r="B96" s="152">
        <f t="shared" ref="B96:Q96" si="65">B94/B49</f>
        <v>0.11789375582479032</v>
      </c>
      <c r="C96" s="152">
        <f t="shared" si="65"/>
        <v>0.12673704340435396</v>
      </c>
      <c r="D96" s="152">
        <f t="shared" si="65"/>
        <v>0.138434018097567</v>
      </c>
      <c r="E96" s="152">
        <f t="shared" si="65"/>
        <v>0.12058184935655514</v>
      </c>
      <c r="F96" s="152">
        <f t="shared" si="65"/>
        <v>0.12126918028334766</v>
      </c>
      <c r="G96" s="152">
        <f t="shared" si="65"/>
        <v>0.12610305843994754</v>
      </c>
      <c r="H96" s="152">
        <f t="shared" si="65"/>
        <v>5.7533301720050001E-2</v>
      </c>
      <c r="I96" s="152">
        <f t="shared" si="65"/>
        <v>0.11877755460917251</v>
      </c>
      <c r="J96" s="152">
        <f t="shared" si="65"/>
        <v>7.6355596751278287E-2</v>
      </c>
      <c r="K96" s="152">
        <f t="shared" si="65"/>
        <v>8.20972548236195E-2</v>
      </c>
      <c r="L96" s="152">
        <f t="shared" si="65"/>
        <v>0.12067383871236761</v>
      </c>
      <c r="M96" s="152">
        <f t="shared" si="65"/>
        <v>0.16706325070633132</v>
      </c>
      <c r="N96" s="152">
        <f t="shared" si="65"/>
        <v>0.18769067661752672</v>
      </c>
      <c r="O96" s="152">
        <f t="shared" si="65"/>
        <v>0.1908754115523377</v>
      </c>
      <c r="P96" s="152">
        <f t="shared" si="65"/>
        <v>0.1869162739253564</v>
      </c>
      <c r="Q96" s="152">
        <f t="shared" si="65"/>
        <v>0.19040589892387189</v>
      </c>
      <c r="R96" s="145"/>
      <c r="S96" s="145"/>
      <c r="T96" s="145"/>
      <c r="U96" s="146"/>
      <c r="V96" s="119"/>
      <c r="W96" s="119"/>
      <c r="X96" s="117"/>
      <c r="Y96" s="117"/>
      <c r="Z96" s="117"/>
      <c r="AA96" s="7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5"/>
      <c r="AL96" s="145"/>
    </row>
    <row r="97" spans="1:38" outlineLevel="2" x14ac:dyDescent="0.15">
      <c r="A97" s="128" t="s">
        <v>85</v>
      </c>
      <c r="B97" s="117"/>
      <c r="C97" s="153">
        <f>(C96-B96)*100</f>
        <v>0.8843287579563639</v>
      </c>
      <c r="D97" s="153">
        <f t="shared" ref="D97:Q97" si="66">(D96-C96)*100</f>
        <v>1.1696974693213043</v>
      </c>
      <c r="E97" s="153">
        <f>(E96-D96)*100</f>
        <v>-1.7852168741011865</v>
      </c>
      <c r="F97" s="153">
        <f t="shared" si="66"/>
        <v>6.8733092679251762E-2</v>
      </c>
      <c r="G97" s="153">
        <f t="shared" si="66"/>
        <v>0.48338781565998856</v>
      </c>
      <c r="H97" s="153">
        <f t="shared" si="66"/>
        <v>-6.8569756719897539</v>
      </c>
      <c r="I97" s="153">
        <f t="shared" si="66"/>
        <v>6.124425288912251</v>
      </c>
      <c r="J97" s="153">
        <f t="shared" si="66"/>
        <v>-4.2421957857894226</v>
      </c>
      <c r="K97" s="153">
        <f t="shared" si="66"/>
        <v>0.57416580723412136</v>
      </c>
      <c r="L97" s="153">
        <f t="shared" si="66"/>
        <v>3.8576583888748113</v>
      </c>
      <c r="M97" s="153">
        <f t="shared" si="66"/>
        <v>4.6389411993963705</v>
      </c>
      <c r="N97" s="153">
        <f t="shared" si="66"/>
        <v>2.0627425911195401</v>
      </c>
      <c r="O97" s="153">
        <f t="shared" si="66"/>
        <v>0.31847349348109733</v>
      </c>
      <c r="P97" s="153">
        <f t="shared" si="66"/>
        <v>-0.39591376269813017</v>
      </c>
      <c r="Q97" s="153">
        <f t="shared" si="66"/>
        <v>0.34896249985154892</v>
      </c>
      <c r="R97" s="117"/>
      <c r="S97" s="117"/>
      <c r="T97" s="117"/>
      <c r="U97" s="118"/>
      <c r="V97" s="147"/>
      <c r="W97" s="147"/>
      <c r="X97" s="145"/>
      <c r="Y97" s="145"/>
      <c r="Z97" s="145"/>
      <c r="AA97" s="117"/>
      <c r="AB97" s="117"/>
      <c r="AC97" s="117"/>
      <c r="AD97" s="117"/>
      <c r="AE97" s="117"/>
      <c r="AF97" s="117"/>
      <c r="AG97" s="117"/>
      <c r="AH97" s="117"/>
      <c r="AI97" s="117"/>
      <c r="AJ97" s="117"/>
      <c r="AK97" s="117"/>
      <c r="AL97" s="117"/>
    </row>
    <row r="98" spans="1:38" outlineLevel="2" x14ac:dyDescent="0.15">
      <c r="A98" s="128"/>
      <c r="B98" s="117"/>
      <c r="C98" s="154"/>
      <c r="D98" s="154"/>
      <c r="E98" s="154"/>
      <c r="F98" s="154"/>
      <c r="G98" s="154"/>
      <c r="H98" s="154"/>
      <c r="I98" s="154"/>
      <c r="J98" s="154"/>
      <c r="K98" s="154"/>
      <c r="L98" s="154"/>
      <c r="M98" s="138"/>
      <c r="N98" s="138"/>
      <c r="O98" s="138"/>
      <c r="P98" s="117"/>
      <c r="Q98" s="117"/>
      <c r="R98" s="117"/>
      <c r="S98" s="117"/>
      <c r="T98" s="117"/>
      <c r="U98" s="118"/>
      <c r="V98" s="119"/>
      <c r="W98" s="119"/>
      <c r="X98" s="117"/>
      <c r="Y98" s="117"/>
      <c r="Z98" s="117"/>
      <c r="AA98" s="117"/>
      <c r="AB98" s="117"/>
      <c r="AC98" s="117"/>
      <c r="AD98" s="117"/>
      <c r="AE98" s="117"/>
      <c r="AF98" s="117"/>
      <c r="AG98" s="117"/>
      <c r="AH98" s="117"/>
      <c r="AI98" s="117"/>
      <c r="AJ98" s="117"/>
      <c r="AK98" s="117"/>
      <c r="AL98" s="117"/>
    </row>
    <row r="99" spans="1:38" outlineLevel="2" x14ac:dyDescent="0.15">
      <c r="A99" s="78" t="s">
        <v>86</v>
      </c>
      <c r="B99" s="117"/>
      <c r="C99" s="138">
        <f t="shared" ref="C99:L99" si="67">C101/(SUM(B196,C196,B197,C197)/2)</f>
        <v>4.9273691882638103E-2</v>
      </c>
      <c r="D99" s="138">
        <f t="shared" si="67"/>
        <v>5.4817063136530689E-2</v>
      </c>
      <c r="E99" s="138">
        <f t="shared" si="67"/>
        <v>5.7542099605876029E-2</v>
      </c>
      <c r="F99" s="138">
        <f t="shared" si="67"/>
        <v>5.4854502827196248E-2</v>
      </c>
      <c r="G99" s="138">
        <f t="shared" si="67"/>
        <v>5.1602472337773875E-2</v>
      </c>
      <c r="H99" s="138">
        <f t="shared" si="67"/>
        <v>5.4284553946121562E-2</v>
      </c>
      <c r="I99" s="138">
        <f t="shared" si="67"/>
        <v>5.3675576209337862E-2</v>
      </c>
      <c r="J99" s="138">
        <f t="shared" si="67"/>
        <v>5.3707438088467847E-2</v>
      </c>
      <c r="K99" s="138">
        <f t="shared" si="67"/>
        <v>5.6906140702941345E-2</v>
      </c>
      <c r="L99" s="138">
        <f t="shared" si="67"/>
        <v>5.8355286578853686E-2</v>
      </c>
      <c r="M99" s="138">
        <v>5.8000000000000003E-2</v>
      </c>
      <c r="N99" s="138">
        <f>M99</f>
        <v>5.8000000000000003E-2</v>
      </c>
      <c r="O99" s="138">
        <f t="shared" ref="O99:Q99" si="68">N99</f>
        <v>5.8000000000000003E-2</v>
      </c>
      <c r="P99" s="138">
        <f t="shared" si="68"/>
        <v>5.8000000000000003E-2</v>
      </c>
      <c r="Q99" s="138">
        <f t="shared" si="68"/>
        <v>5.8000000000000003E-2</v>
      </c>
      <c r="R99" s="117"/>
      <c r="S99" s="117"/>
      <c r="T99" s="117"/>
      <c r="U99" s="118"/>
      <c r="V99" s="119"/>
      <c r="W99" s="119"/>
      <c r="X99" s="117"/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7"/>
      <c r="AL99" s="117"/>
    </row>
    <row r="100" spans="1:38" outlineLevel="2" x14ac:dyDescent="0.15">
      <c r="A100" s="94" t="s">
        <v>87</v>
      </c>
      <c r="B100" s="155"/>
      <c r="C100" s="155"/>
      <c r="D100" s="155"/>
      <c r="E100" s="155"/>
      <c r="F100" s="155"/>
      <c r="G100" s="155"/>
      <c r="H100" s="155"/>
      <c r="I100" s="155"/>
      <c r="J100" s="155"/>
      <c r="K100" s="155"/>
      <c r="L100" s="155"/>
      <c r="M100" s="142"/>
      <c r="N100" s="142"/>
      <c r="O100" s="142"/>
      <c r="P100" s="117"/>
      <c r="Q100" s="117"/>
      <c r="R100" s="117"/>
      <c r="S100" s="117"/>
      <c r="T100" s="117"/>
      <c r="U100" s="118"/>
      <c r="V100" s="119" t="s">
        <v>78</v>
      </c>
      <c r="W100" s="119" t="s">
        <v>89</v>
      </c>
      <c r="X100" s="117" cm="1">
        <f t="array" ref="X100">_xll.FDSC("--",$A$1,""&amp;$V100&amp;"("&amp;$W100&amp;","&amp;D$2&amp;",ANNUAL_ROLL,+1,0,,,'CURRENCY="&amp;$E$1&amp;"')")</f>
        <v>245.3</v>
      </c>
      <c r="Y100" s="117" cm="1">
        <f t="array" ref="Y100">_xll.FDSC("--",$A$1,""&amp;$V100&amp;"("&amp;$W100&amp;","&amp;D$2&amp;",ANNUAL_ROLL,+2,0,,,'CURRENCY="&amp;$E$1&amp;"')")</f>
        <v>200</v>
      </c>
      <c r="Z100" s="117" cm="1">
        <f t="array" ref="Z100">_xll.FDSC("--",$A$1,""&amp;$V100&amp;"("&amp;$W100&amp;","&amp;D$2&amp;",ANNUAL_ROLL,+3,0,,,'CURRENCY="&amp;$E$1&amp;"')")</f>
        <v>269</v>
      </c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</row>
    <row r="101" spans="1:38" s="108" customFormat="1" outlineLevel="2" x14ac:dyDescent="0.15">
      <c r="A101" s="78" t="s">
        <v>88</v>
      </c>
      <c r="B101" s="140">
        <f>CHOOSE(IF($B$1=2,2,1),'GAAP-IFRS'!E16,IF('Broker Actual'!E16="-",'GAAP-IFRS'!E16,'Broker Actual'!E16))</f>
        <v>139.69999999999999</v>
      </c>
      <c r="C101" s="140">
        <f>CHOOSE(IF($B$1=2,2,1),'GAAP-IFRS'!F16,IF('Broker Actual'!F16="-",'GAAP-IFRS'!F16,'Broker Actual'!F16))</f>
        <v>145.35</v>
      </c>
      <c r="D101" s="140">
        <f>CHOOSE(IF($B$1=2,2,1),'GAAP-IFRS'!G16,IF('Broker Actual'!G16="-",'GAAP-IFRS'!G16,'Broker Actual'!G16))</f>
        <v>149.9</v>
      </c>
      <c r="E101" s="140">
        <f>CHOOSE(IF($B$1=2,2,1),'GAAP-IFRS'!H16,IF('Broker Actual'!H16="-",'GAAP-IFRS'!H16,'Broker Actual'!H16))</f>
        <v>160.6</v>
      </c>
      <c r="F101" s="140">
        <f>CHOOSE(IF($B$1=2,2,1),'GAAP-IFRS'!I16,IF('Broker Actual'!I16="-",'GAAP-IFRS'!I16,'Broker Actual'!I16))</f>
        <v>159.1</v>
      </c>
      <c r="G101" s="140">
        <f>CHOOSE(IF($B$1=2,2,1),'GAAP-IFRS'!J16,IF('Broker Actual'!J16="-",'GAAP-IFRS'!J16,'Broker Actual'!J16))</f>
        <v>153.19999999999999</v>
      </c>
      <c r="H101" s="140">
        <f>CHOOSE(IF($B$1=2,2,1),'GAAP-IFRS'!K16,IF('Broker Actual'!K16="-",'GAAP-IFRS'!K16,'Broker Actual'!K16))</f>
        <v>160.4</v>
      </c>
      <c r="I101" s="140">
        <f>CHOOSE(IF($B$1=2,2,1),'GAAP-IFRS'!L16,IF('Broker Actual'!L16="-",'GAAP-IFRS'!L16,'Broker Actual'!L16))</f>
        <v>172.1</v>
      </c>
      <c r="J101" s="140">
        <f>CHOOSE(IF($B$1=2,2,1),'GAAP-IFRS'!M16,IF('Broker Actual'!M16="-",'GAAP-IFRS'!M16,'Broker Actual'!M16))</f>
        <v>185.1</v>
      </c>
      <c r="K101" s="140">
        <f>CHOOSE(IF($B$1=2,2,1),'GAAP-IFRS'!N16,IF('Broker Actual'!N16="-",'GAAP-IFRS'!N16,'Broker Actual'!N16))</f>
        <v>198.5</v>
      </c>
      <c r="L101" s="140">
        <f>CHOOSE(IF($B$1=2,2,1),'GAAP-IFRS'!O16,IF('Broker Actual'!O16="-",'GAAP-IFRS'!O16,'Broker Actual'!O16))</f>
        <v>204.9</v>
      </c>
      <c r="M101" s="433">
        <v>200</v>
      </c>
      <c r="N101" s="433">
        <v>200</v>
      </c>
      <c r="O101" s="433">
        <v>270</v>
      </c>
      <c r="P101" s="433">
        <v>270</v>
      </c>
      <c r="Q101" s="433">
        <f>P101</f>
        <v>270</v>
      </c>
      <c r="R101" s="145"/>
      <c r="S101" s="145"/>
      <c r="T101" s="145"/>
      <c r="U101" s="146"/>
      <c r="V101" s="119"/>
      <c r="W101" s="119"/>
      <c r="X101" s="117"/>
      <c r="Y101" s="117"/>
      <c r="Z101" s="117"/>
      <c r="AA101" s="145"/>
      <c r="AB101" s="145"/>
      <c r="AC101" s="145"/>
      <c r="AD101" s="145"/>
      <c r="AE101" s="145"/>
      <c r="AF101" s="145"/>
      <c r="AG101" s="145"/>
      <c r="AH101" s="145"/>
      <c r="AI101" s="145"/>
      <c r="AJ101" s="145"/>
      <c r="AK101" s="145"/>
      <c r="AL101" s="145"/>
    </row>
    <row r="102" spans="1:38" outlineLevel="2" x14ac:dyDescent="0.15">
      <c r="B102" s="117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42"/>
      <c r="N102" s="142"/>
      <c r="O102" s="142"/>
      <c r="P102" s="117"/>
      <c r="Q102" s="117"/>
      <c r="R102" s="117"/>
      <c r="S102" s="117"/>
      <c r="T102" s="117"/>
      <c r="U102" s="118"/>
      <c r="V102" s="119"/>
      <c r="W102" s="119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/>
      <c r="AK102" s="117"/>
      <c r="AL102" s="117"/>
    </row>
    <row r="103" spans="1:38" outlineLevel="2" x14ac:dyDescent="0.15">
      <c r="A103" s="156" t="s">
        <v>90</v>
      </c>
      <c r="B103" s="140">
        <f>CHOOSE(IF($B$1=2,2,1),'GAAP-IFRS'!E17,IF('Broker Actual'!E17="-",'GAAP-IFRS'!E17,'Broker Actual'!E17))</f>
        <v>0</v>
      </c>
      <c r="C103" s="140">
        <f>CHOOSE(IF($B$1=2,2,1),'GAAP-IFRS'!F17,IF('Broker Actual'!F17="-",'GAAP-IFRS'!F17,'Broker Actual'!F17))</f>
        <v>0</v>
      </c>
      <c r="D103" s="140">
        <f>CHOOSE(IF($B$1=2,2,1),'GAAP-IFRS'!G17,IF('Broker Actual'!G17="-",'GAAP-IFRS'!G17,'Broker Actual'!G17))</f>
        <v>0</v>
      </c>
      <c r="E103" s="140">
        <f>CHOOSE(IF($B$1=2,2,1),'GAAP-IFRS'!H17,IF('Broker Actual'!H17="-",'GAAP-IFRS'!H17,'Broker Actual'!H17))</f>
        <v>0</v>
      </c>
      <c r="F103" s="140">
        <f>CHOOSE(IF($B$1=2,2,1),'GAAP-IFRS'!I17,IF('Broker Actual'!I17="-",'GAAP-IFRS'!I17,'Broker Actual'!I17))</f>
        <v>0</v>
      </c>
      <c r="G103" s="140">
        <f>CHOOSE(IF($B$1=2,2,1),'GAAP-IFRS'!J17,IF('Broker Actual'!J17="-",'GAAP-IFRS'!J17,'Broker Actual'!J17))</f>
        <v>0</v>
      </c>
      <c r="H103" s="140">
        <f>CHOOSE(IF($B$1=2,2,1),'GAAP-IFRS'!K17,IF('Broker Actual'!K17="-",'GAAP-IFRS'!K17,'Broker Actual'!K17))</f>
        <v>0</v>
      </c>
      <c r="I103" s="140">
        <f>CHOOSE(IF($B$1=2,2,1),'GAAP-IFRS'!L17,IF('Broker Actual'!L17="-",'GAAP-IFRS'!L17,'Broker Actual'!L17))</f>
        <v>0</v>
      </c>
      <c r="J103" s="140">
        <f>CHOOSE(IF($B$1=2,2,1),'GAAP-IFRS'!M17,IF('Broker Actual'!M17="-",'GAAP-IFRS'!M17,'Broker Actual'!M17))</f>
        <v>0</v>
      </c>
      <c r="K103" s="140">
        <f>CHOOSE(IF($B$1=2,2,1),'GAAP-IFRS'!N17,IF('Broker Actual'!N17="-",'GAAP-IFRS'!N17,'Broker Actual'!N17))</f>
        <v>0</v>
      </c>
      <c r="L103" s="140">
        <f>CHOOSE(IF($B$1=2,2,1),'GAAP-IFRS'!O17,IF('Broker Actual'!O17="-",'GAAP-IFRS'!O17,'Broker Actual'!O17))</f>
        <v>-72.2</v>
      </c>
      <c r="M103" s="151">
        <v>0</v>
      </c>
      <c r="N103" s="151">
        <f t="shared" ref="N103:Q103" si="69">M103</f>
        <v>0</v>
      </c>
      <c r="O103" s="151">
        <f t="shared" si="69"/>
        <v>0</v>
      </c>
      <c r="P103" s="151">
        <f t="shared" si="69"/>
        <v>0</v>
      </c>
      <c r="Q103" s="151">
        <f t="shared" si="69"/>
        <v>0</v>
      </c>
      <c r="R103" s="117"/>
      <c r="S103" s="117"/>
      <c r="T103" s="117"/>
      <c r="U103" s="118"/>
      <c r="V103" s="119"/>
      <c r="W103" s="119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7"/>
      <c r="AK103" s="117"/>
      <c r="AL103" s="117"/>
    </row>
    <row r="104" spans="1:38" outlineLevel="2" x14ac:dyDescent="0.15">
      <c r="A104" s="78" t="s">
        <v>91</v>
      </c>
      <c r="B104" s="140">
        <f>CHOOSE(IF($B$1=2,2,1),'GAAP-IFRS'!E18,IF('Broker Actual'!E18="-",'GAAP-IFRS'!E18,'Broker Actual'!E18))</f>
        <v>0</v>
      </c>
      <c r="C104" s="140">
        <f>CHOOSE(IF($B$1=2,2,1),'GAAP-IFRS'!F18,IF('Broker Actual'!F18="-",'GAAP-IFRS'!F18,'Broker Actual'!F18))</f>
        <v>0</v>
      </c>
      <c r="D104" s="140">
        <v>0</v>
      </c>
      <c r="E104" s="140">
        <v>0</v>
      </c>
      <c r="F104" s="140">
        <v>0</v>
      </c>
      <c r="G104" s="140">
        <v>0</v>
      </c>
      <c r="H104" s="140">
        <v>0</v>
      </c>
      <c r="I104" s="140">
        <f>CHOOSE(IF($B$1=2,2,1),'GAAP-IFRS'!L18,IF('Broker Actual'!L18="-",'GAAP-IFRS'!L18,'Broker Actual'!L18))</f>
        <v>27.3</v>
      </c>
      <c r="J104" s="140">
        <f>CHOOSE(IF($B$1=2,2,1),'GAAP-IFRS'!M18,IF('Broker Actual'!M18="-",'GAAP-IFRS'!M18,'Broker Actual'!M18))</f>
        <v>12.7</v>
      </c>
      <c r="K104" s="140">
        <f>CHOOSE(IF($B$1=2,2,1),'GAAP-IFRS'!N18,IF('Broker Actual'!N18="-",'GAAP-IFRS'!N18,'Broker Actual'!N18))</f>
        <v>93.3</v>
      </c>
      <c r="L104" s="140">
        <f>CHOOSE(IF($B$1=2,2,1),'GAAP-IFRS'!O18,IF('Broker Actual'!O18="-",'GAAP-IFRS'!O18,'Broker Actual'!O18))</f>
        <v>4.2</v>
      </c>
      <c r="M104" s="151">
        <v>0</v>
      </c>
      <c r="N104" s="151">
        <v>0</v>
      </c>
      <c r="O104" s="151">
        <v>0</v>
      </c>
      <c r="P104" s="151">
        <v>0</v>
      </c>
      <c r="Q104" s="151">
        <v>0</v>
      </c>
      <c r="R104" s="117"/>
      <c r="S104" s="117"/>
      <c r="T104" s="117"/>
      <c r="U104" s="118"/>
      <c r="V104" s="119"/>
      <c r="W104" s="119"/>
      <c r="X104" s="117"/>
      <c r="Y104" s="117"/>
      <c r="Z104" s="117"/>
      <c r="AA104" s="111"/>
      <c r="AB104" s="149"/>
      <c r="AC104" s="149"/>
      <c r="AD104" s="149"/>
      <c r="AE104" s="149"/>
      <c r="AF104" s="149"/>
      <c r="AG104" s="149"/>
      <c r="AH104" s="149"/>
      <c r="AI104" s="149"/>
      <c r="AJ104" s="149"/>
      <c r="AK104" s="149"/>
      <c r="AL104" s="149"/>
    </row>
    <row r="105" spans="1:38" outlineLevel="2" x14ac:dyDescent="0.15"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42"/>
      <c r="M105" s="153"/>
      <c r="N105" s="153"/>
      <c r="O105" s="153"/>
      <c r="P105" s="117"/>
      <c r="Q105" s="117"/>
      <c r="R105" s="117"/>
      <c r="S105" s="117"/>
      <c r="T105" s="117"/>
      <c r="U105" s="118"/>
      <c r="V105" s="119"/>
      <c r="W105" s="119"/>
      <c r="X105" s="117"/>
      <c r="Y105" s="117"/>
      <c r="Z105" s="117"/>
      <c r="AA105" s="161"/>
      <c r="AB105" s="149"/>
      <c r="AC105" s="149"/>
      <c r="AD105" s="149"/>
      <c r="AE105" s="149"/>
      <c r="AF105" s="149"/>
      <c r="AG105" s="149"/>
      <c r="AH105" s="149"/>
      <c r="AI105" s="149"/>
      <c r="AJ105" s="149"/>
      <c r="AK105" s="149"/>
      <c r="AL105" s="149"/>
    </row>
    <row r="106" spans="1:38" outlineLevel="2" x14ac:dyDescent="0.15">
      <c r="A106" s="125" t="s">
        <v>92</v>
      </c>
      <c r="B106" s="142">
        <f t="shared" ref="B106:K106" si="70">B108-(B94-B101+B103-B104)</f>
        <v>139.70000000000005</v>
      </c>
      <c r="C106" s="142">
        <f t="shared" si="70"/>
        <v>64.439999999999827</v>
      </c>
      <c r="D106" s="142">
        <f>D108-(D94-D101+D103-D104)</f>
        <v>-723.9</v>
      </c>
      <c r="E106" s="142">
        <f t="shared" si="70"/>
        <v>160.59999999999991</v>
      </c>
      <c r="F106" s="142">
        <f t="shared" si="70"/>
        <v>159.29999999999995</v>
      </c>
      <c r="G106" s="142">
        <f t="shared" si="70"/>
        <v>145.10000000000014</v>
      </c>
      <c r="H106" s="142">
        <f t="shared" si="70"/>
        <v>160.39999999999998</v>
      </c>
      <c r="I106" s="142">
        <f t="shared" si="70"/>
        <v>203.09999999999991</v>
      </c>
      <c r="J106" s="142">
        <f t="shared" si="70"/>
        <v>470.80000000000007</v>
      </c>
      <c r="K106" s="142">
        <f t="shared" si="70"/>
        <v>394.95000000000005</v>
      </c>
      <c r="L106" s="142">
        <f>L108-(L94-L101+L103-L104)</f>
        <v>436.50000000000023</v>
      </c>
      <c r="M106" s="151"/>
      <c r="N106" s="151"/>
      <c r="O106" s="151"/>
      <c r="P106" s="117"/>
      <c r="Q106" s="117"/>
      <c r="R106" s="117"/>
      <c r="S106" s="117"/>
      <c r="T106" s="117"/>
      <c r="U106" s="118"/>
      <c r="V106" s="119"/>
      <c r="W106" s="119"/>
      <c r="X106" s="117"/>
      <c r="Y106" s="117"/>
      <c r="Z106" s="117"/>
      <c r="AA106" s="117"/>
      <c r="AB106" s="149"/>
      <c r="AC106" s="149"/>
      <c r="AD106" s="149"/>
      <c r="AE106" s="149"/>
      <c r="AF106" s="149"/>
      <c r="AG106" s="149"/>
      <c r="AH106" s="149"/>
      <c r="AI106" s="149"/>
      <c r="AJ106" s="149"/>
      <c r="AK106" s="149"/>
      <c r="AL106" s="149"/>
    </row>
    <row r="107" spans="1:38" outlineLevel="2" x14ac:dyDescent="0.15"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42"/>
      <c r="M107" s="129"/>
      <c r="N107" s="129"/>
      <c r="O107" s="129"/>
      <c r="P107" s="117"/>
      <c r="Q107" s="117"/>
      <c r="R107" s="117"/>
      <c r="S107" s="117"/>
      <c r="T107" s="117"/>
      <c r="U107" s="118"/>
      <c r="V107" s="119" t="s">
        <v>78</v>
      </c>
      <c r="W107" s="119" t="s">
        <v>94</v>
      </c>
      <c r="X107" s="117" cm="1">
        <f t="array" ref="X107">_xll.FDSC("--",$A$1,""&amp;$V107&amp;"("&amp;$W107&amp;","&amp;D$2&amp;",ANNUAL_ROLL,+1,0,,,'CURRENCY="&amp;$E$1&amp;"')")</f>
        <v>1933.7</v>
      </c>
      <c r="Y107" s="117" cm="1">
        <f t="array" ref="Y107">_xll.FDSC("--",$A$1,""&amp;$V107&amp;"("&amp;$W107&amp;","&amp;D$2&amp;",ANNUAL_ROLL,+2,0,,,'CURRENCY="&amp;$E$1&amp;"')")</f>
        <v>1891.4824000000001</v>
      </c>
      <c r="Z107" s="117" cm="1">
        <f t="array" ref="Z107">_xll.FDSC("--",$A$1,""&amp;$V107&amp;"("&amp;$W107&amp;","&amp;D$2&amp;",ANNUAL_ROLL,+3,0,,,'CURRENCY="&amp;$E$1&amp;"')")</f>
        <v>1956.1</v>
      </c>
      <c r="AA107" s="117"/>
      <c r="AB107" s="149"/>
      <c r="AC107" s="149"/>
      <c r="AD107" s="149"/>
      <c r="AE107" s="149"/>
      <c r="AF107" s="149"/>
      <c r="AG107" s="149"/>
      <c r="AH107" s="149"/>
      <c r="AI107" s="149"/>
      <c r="AJ107" s="149"/>
      <c r="AK107" s="149"/>
      <c r="AL107" s="149"/>
    </row>
    <row r="108" spans="1:38" outlineLevel="2" x14ac:dyDescent="0.15">
      <c r="A108" s="78" t="s">
        <v>93</v>
      </c>
      <c r="B108" s="140">
        <f>CHOOSE(IF($B$1=2,2,1),'GAAP-IFRS'!E19,IF('Broker Actual'!E19="-",'GAAP-IFRS'!E19,'Broker Actual'!E19))</f>
        <v>1239.7</v>
      </c>
      <c r="C108" s="140">
        <f>CHOOSE(IF($B$1=2,2,1),'GAAP-IFRS'!F19,IF('Broker Actual'!F19="-",'GAAP-IFRS'!F19,'Broker Actual'!F19))</f>
        <v>1231.3</v>
      </c>
      <c r="D108" s="140">
        <f>CHOOSE(IF($B$1=2,2,1),'GAAP-IFRS'!G19,IF('Broker Actual'!G19="-",'GAAP-IFRS'!G19,'Broker Actual'!G19))</f>
        <v>581.1</v>
      </c>
      <c r="E108" s="140">
        <f>CHOOSE(IF($B$1=2,2,1),'GAAP-IFRS'!H19,IF('Broker Actual'!H19="-",'GAAP-IFRS'!H19,'Broker Actual'!H19))</f>
        <v>1294</v>
      </c>
      <c r="F108" s="140">
        <f>CHOOSE(IF($B$1=2,2,1),'GAAP-IFRS'!I19,IF('Broker Actual'!I19="-",'GAAP-IFRS'!I19,'Broker Actual'!I19))</f>
        <v>1339.8</v>
      </c>
      <c r="G108" s="140">
        <f>CHOOSE(IF($B$1=2,2,1),'GAAP-IFRS'!J19,IF('Broker Actual'!J19="-",'GAAP-IFRS'!J19,'Broker Actual'!J19))</f>
        <v>1415.2</v>
      </c>
      <c r="H108" s="140">
        <f>CHOOSE(IF($B$1=2,2,1),'GAAP-IFRS'!K19,IF('Broker Actual'!K19="-",'GAAP-IFRS'!K19,'Broker Actual'!K19))</f>
        <v>667.3</v>
      </c>
      <c r="I108" s="140">
        <f>CHOOSE(IF($B$1=2,2,1),'GAAP-IFRS'!L19,IF('Broker Actual'!L19="-",'GAAP-IFRS'!L19,'Broker Actual'!L19))</f>
        <v>1428.9</v>
      </c>
      <c r="J108" s="140">
        <f>CHOOSE(IF($B$1=2,2,1),'GAAP-IFRS'!M19,IF('Broker Actual'!M19="-",'GAAP-IFRS'!M19,'Broker Actual'!M19))</f>
        <v>1278</v>
      </c>
      <c r="K108" s="140">
        <f>CHOOSE(IF($B$1=2,2,1),'GAAP-IFRS'!N19,IF('Broker Actual'!N19="-",'GAAP-IFRS'!N19,'Broker Actual'!N19))</f>
        <v>1089.45</v>
      </c>
      <c r="L108" s="140">
        <f>CHOOSE(IF($B$1=2,2,1),'GAAP-IFRS'!O19,IF('Broker Actual'!O19="-",'GAAP-IFRS'!O19,'Broker Actual'!O19))</f>
        <v>1602.2</v>
      </c>
      <c r="M108" s="139">
        <f>M94-M101-M103-M104+M106</f>
        <v>1879.3258696491248</v>
      </c>
      <c r="N108" s="139">
        <f>N94-N101-N103-N104+N106</f>
        <v>2444.8258855801923</v>
      </c>
      <c r="O108" s="139">
        <f>O94-O101-O103-O104+O106</f>
        <v>2510.3937602232763</v>
      </c>
      <c r="P108" s="139">
        <f t="shared" ref="P108:Q108" si="71">P94-P101-P103-P104+P106</f>
        <v>2491.7085416769496</v>
      </c>
      <c r="Q108" s="139">
        <f t="shared" si="71"/>
        <v>2564.6592265557556</v>
      </c>
      <c r="R108" s="117"/>
      <c r="S108" s="117"/>
      <c r="T108" s="117"/>
      <c r="U108" s="118"/>
      <c r="V108" s="119"/>
      <c r="W108" s="119"/>
      <c r="X108" s="117"/>
      <c r="Y108" s="117"/>
      <c r="Z108" s="117"/>
      <c r="AA108" s="111"/>
      <c r="AB108" s="149"/>
      <c r="AC108" s="149"/>
      <c r="AD108" s="149"/>
      <c r="AE108" s="149"/>
      <c r="AF108" s="149"/>
      <c r="AG108" s="149"/>
      <c r="AH108" s="149"/>
      <c r="AI108" s="149"/>
      <c r="AJ108" s="149"/>
      <c r="AK108" s="149"/>
      <c r="AL108" s="149"/>
    </row>
    <row r="109" spans="1:38" outlineLevel="2" x14ac:dyDescent="0.15">
      <c r="A109" s="128" t="s">
        <v>74</v>
      </c>
      <c r="B109" s="159"/>
      <c r="C109" s="138">
        <f>C108/B108-1</f>
        <v>-6.7758328627894882E-3</v>
      </c>
      <c r="D109" s="138">
        <f t="shared" ref="D109:Q109" si="72">D108/C108-1</f>
        <v>-0.5280597742223665</v>
      </c>
      <c r="E109" s="138">
        <f t="shared" si="72"/>
        <v>1.2268112200998105</v>
      </c>
      <c r="F109" s="138">
        <f t="shared" si="72"/>
        <v>3.5394126738794496E-2</v>
      </c>
      <c r="G109" s="138">
        <f t="shared" si="72"/>
        <v>5.6277056277056259E-2</v>
      </c>
      <c r="H109" s="138">
        <f t="shared" si="72"/>
        <v>-0.52847654041831549</v>
      </c>
      <c r="I109" s="138">
        <f t="shared" si="72"/>
        <v>1.1413157500374647</v>
      </c>
      <c r="J109" s="138">
        <f t="shared" si="72"/>
        <v>-0.10560571068654212</v>
      </c>
      <c r="K109" s="138">
        <f t="shared" si="72"/>
        <v>-0.1475352112676056</v>
      </c>
      <c r="L109" s="138">
        <f t="shared" si="72"/>
        <v>0.47065032814723029</v>
      </c>
      <c r="M109" s="138">
        <f t="shared" si="72"/>
        <v>0.1729658405000154</v>
      </c>
      <c r="N109" s="138">
        <f t="shared" si="72"/>
        <v>0.30090577960098419</v>
      </c>
      <c r="O109" s="138">
        <f t="shared" si="72"/>
        <v>2.6819036492459203E-2</v>
      </c>
      <c r="P109" s="138">
        <f t="shared" si="72"/>
        <v>-7.4431425230537807E-3</v>
      </c>
      <c r="Q109" s="138">
        <f t="shared" si="72"/>
        <v>2.9277374804723033E-2</v>
      </c>
      <c r="R109" s="117"/>
      <c r="S109" s="117"/>
      <c r="T109" s="117"/>
      <c r="U109" s="118"/>
      <c r="V109" s="169"/>
      <c r="W109" s="169"/>
      <c r="X109" s="159"/>
      <c r="Y109" s="159"/>
      <c r="Z109" s="159"/>
      <c r="AA109" s="117"/>
      <c r="AB109" s="149"/>
      <c r="AC109" s="149"/>
      <c r="AD109" s="149"/>
      <c r="AE109" s="149"/>
      <c r="AF109" s="149"/>
      <c r="AG109" s="149"/>
      <c r="AH109" s="149"/>
      <c r="AI109" s="149"/>
      <c r="AJ109" s="149"/>
      <c r="AK109" s="149"/>
      <c r="AL109" s="149"/>
    </row>
    <row r="110" spans="1:38" outlineLevel="2" x14ac:dyDescent="0.15">
      <c r="A110" s="128" t="s">
        <v>95</v>
      </c>
      <c r="B110" s="140">
        <f>CHOOSE(IF($B$1=2,2,1),'GAAP-IFRS'!E21,IF('Broker Actual'!E21="-",'GAAP-IFRS'!E21,'Broker Actual'!E21))</f>
        <v>352.2</v>
      </c>
      <c r="C110" s="140">
        <f>CHOOSE(IF($B$1=2,2,1),'GAAP-IFRS'!F21,IF('Broker Actual'!F21="-",'GAAP-IFRS'!F21,'Broker Actual'!F21))</f>
        <v>355.7</v>
      </c>
      <c r="D110" s="140">
        <f>CHOOSE(IF($B$1=2,2,1),'GAAP-IFRS'!G21,IF('Broker Actual'!G21="-",'GAAP-IFRS'!G21,'Broker Actual'!G21))</f>
        <v>136.30000000000001</v>
      </c>
      <c r="E110" s="140">
        <f>CHOOSE(IF($B$1=2,2,1),'GAAP-IFRS'!H21,IF('Broker Actual'!H21="-",'GAAP-IFRS'!H21,'Broker Actual'!H21))</f>
        <v>393</v>
      </c>
      <c r="F110" s="140">
        <f>CHOOSE(IF($B$1=2,2,1),'GAAP-IFRS'!I21,IF('Broker Actual'!I21="-",'GAAP-IFRS'!I21,'Broker Actual'!I21))</f>
        <v>413.6</v>
      </c>
      <c r="G110" s="140">
        <f>CHOOSE(IF($B$1=2,2,1),'GAAP-IFRS'!J21,IF('Broker Actual'!J21="-",'GAAP-IFRS'!J21,'Broker Actual'!J21))</f>
        <v>436.8</v>
      </c>
      <c r="H110" s="140">
        <f>CHOOSE(IF($B$1=2,2,1),'GAAP-IFRS'!K21,IF('Broker Actual'!K21="-",'GAAP-IFRS'!K21,'Broker Actual'!K21))</f>
        <v>115.4</v>
      </c>
      <c r="I110" s="140">
        <f>CHOOSE(IF($B$1=2,2,1),'GAAP-IFRS'!L21,IF('Broker Actual'!L21="-",'GAAP-IFRS'!L21,'Broker Actual'!L21))</f>
        <v>284.55</v>
      </c>
      <c r="J110" s="140">
        <f>CHOOSE(IF($B$1=2,2,1),'GAAP-IFRS'!M21,IF('Broker Actual'!M21="-",'GAAP-IFRS'!M21,'Broker Actual'!M21))</f>
        <v>233.45</v>
      </c>
      <c r="K110" s="140">
        <f>CHOOSE(IF($B$1=2,2,1),'GAAP-IFRS'!N21,IF('Broker Actual'!N21="-",'GAAP-IFRS'!N21,'Broker Actual'!N21))</f>
        <v>225.9</v>
      </c>
      <c r="L110" s="140">
        <f>CHOOSE(IF($B$1=2,2,1),'GAAP-IFRS'!O21,IF('Broker Actual'!O21="-",'GAAP-IFRS'!O21,'Broker Actual'!O21))</f>
        <v>302</v>
      </c>
      <c r="M110" s="139">
        <f>L110*(1+M111)</f>
        <v>358.9242291848708</v>
      </c>
      <c r="N110" s="139">
        <f t="shared" ref="N110:Q110" si="73">M110*(1+N111)</f>
        <v>426.57815329785979</v>
      </c>
      <c r="O110" s="139">
        <f t="shared" si="73"/>
        <v>511.89378395743171</v>
      </c>
      <c r="P110" s="139">
        <f t="shared" si="73"/>
        <v>614.272540748918</v>
      </c>
      <c r="Q110" s="139">
        <f t="shared" si="73"/>
        <v>737.12704889870156</v>
      </c>
      <c r="R110" s="117"/>
      <c r="S110" s="117"/>
      <c r="T110" s="117"/>
      <c r="U110" s="118"/>
      <c r="V110" s="119" t="s">
        <v>78</v>
      </c>
      <c r="W110" s="119" t="s">
        <v>96</v>
      </c>
      <c r="X110" s="117" cm="1">
        <f t="array" ref="X110">_xll.FDSC("--",$A$1,""&amp;$V110&amp;"("&amp;$W110&amp;","&amp;D$2&amp;",ANNUAL_ROLL,+1,0,,,'CURRENCY="&amp;$E$1&amp;"')")</f>
        <v>411.2</v>
      </c>
      <c r="Y110" s="117" cm="1">
        <f t="array" ref="Y110">_xll.FDSC("--",$A$1,""&amp;$V110&amp;"("&amp;$W110&amp;","&amp;D$2&amp;",ANNUAL_ROLL,+2,0,,,'CURRENCY="&amp;$E$1&amp;"')")</f>
        <v>398.55</v>
      </c>
      <c r="Z110" s="117" cm="1">
        <f t="array" ref="Z110">_xll.FDSC("--",$A$1,""&amp;$V110&amp;"("&amp;$W110&amp;","&amp;D$2&amp;",ANNUAL_ROLL,+3,0,,,'CURRENCY="&amp;$E$1&amp;"')")</f>
        <v>415.35</v>
      </c>
      <c r="AA110" s="117"/>
      <c r="AB110" s="149"/>
      <c r="AC110" s="149"/>
      <c r="AD110" s="149"/>
      <c r="AE110" s="149"/>
      <c r="AF110" s="149"/>
      <c r="AG110" s="149"/>
      <c r="AH110" s="149"/>
      <c r="AI110" s="149"/>
      <c r="AJ110" s="149"/>
      <c r="AK110" s="149"/>
      <c r="AL110" s="149"/>
    </row>
    <row r="111" spans="1:38" outlineLevel="2" x14ac:dyDescent="0.15">
      <c r="A111" s="128" t="s">
        <v>97</v>
      </c>
      <c r="B111" s="138">
        <f>B110/B108</f>
        <v>0.28410099217552631</v>
      </c>
      <c r="C111" s="138">
        <f t="shared" ref="C111:K111" si="74">C110/C108</f>
        <v>0.28888166977990742</v>
      </c>
      <c r="D111" s="138">
        <f t="shared" si="74"/>
        <v>0.23455515401824129</v>
      </c>
      <c r="E111" s="138">
        <f t="shared" si="74"/>
        <v>0.30370942812982998</v>
      </c>
      <c r="F111" s="138">
        <f t="shared" si="74"/>
        <v>0.30870279146141216</v>
      </c>
      <c r="G111" s="138">
        <f t="shared" si="74"/>
        <v>0.30864895421141886</v>
      </c>
      <c r="H111" s="138">
        <f t="shared" si="74"/>
        <v>0.17293571107447928</v>
      </c>
      <c r="I111" s="138">
        <f t="shared" si="74"/>
        <v>0.19913919798446356</v>
      </c>
      <c r="J111" s="138">
        <f t="shared" si="74"/>
        <v>0.18266823161189358</v>
      </c>
      <c r="K111" s="138">
        <f t="shared" si="74"/>
        <v>0.20735233374638579</v>
      </c>
      <c r="L111" s="138">
        <f>L110/L108</f>
        <v>0.18849082511546622</v>
      </c>
      <c r="M111" s="129">
        <f>L111</f>
        <v>0.18849082511546622</v>
      </c>
      <c r="N111" s="129">
        <f>M111</f>
        <v>0.18849082511546622</v>
      </c>
      <c r="O111" s="129">
        <v>0.2</v>
      </c>
      <c r="P111" s="129">
        <v>0.2</v>
      </c>
      <c r="Q111" s="129">
        <v>0.2</v>
      </c>
      <c r="R111" s="117"/>
      <c r="S111" s="117"/>
      <c r="T111" s="117"/>
      <c r="U111" s="118"/>
      <c r="V111" s="119"/>
      <c r="W111" s="119"/>
      <c r="X111" s="117"/>
      <c r="Y111" s="117"/>
      <c r="Z111" s="117"/>
      <c r="AA111" s="117"/>
      <c r="AB111" s="149"/>
      <c r="AC111" s="149"/>
      <c r="AD111" s="149"/>
      <c r="AE111" s="149"/>
      <c r="AF111" s="149"/>
      <c r="AG111" s="149"/>
      <c r="AH111" s="149"/>
      <c r="AI111" s="149"/>
      <c r="AJ111" s="149"/>
      <c r="AK111" s="149"/>
      <c r="AL111" s="149"/>
    </row>
    <row r="112" spans="1:38" outlineLevel="2" x14ac:dyDescent="0.15">
      <c r="A112" s="128"/>
      <c r="B112" s="163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P112" s="117"/>
      <c r="Q112" s="117"/>
      <c r="R112" s="117"/>
      <c r="S112" s="117"/>
      <c r="T112" s="117"/>
      <c r="U112" s="118"/>
      <c r="V112" s="119"/>
      <c r="W112" s="119"/>
      <c r="X112" s="117"/>
      <c r="Y112" s="117"/>
      <c r="Z112" s="117"/>
      <c r="AA112" s="117"/>
      <c r="AB112" s="149"/>
      <c r="AC112" s="149"/>
      <c r="AD112" s="149"/>
      <c r="AE112" s="149"/>
      <c r="AF112" s="149"/>
      <c r="AG112" s="149"/>
      <c r="AH112" s="149"/>
      <c r="AI112" s="149"/>
      <c r="AJ112" s="149"/>
      <c r="AK112" s="149"/>
      <c r="AL112" s="149"/>
    </row>
    <row r="113" spans="1:38" outlineLevel="2" x14ac:dyDescent="0.15">
      <c r="A113" s="78" t="s">
        <v>98</v>
      </c>
      <c r="B113" s="142">
        <f t="shared" ref="B113:L113" si="75">B115-(B108-B110)</f>
        <v>6.8999999999999773</v>
      </c>
      <c r="C113" s="142">
        <f t="shared" si="75"/>
        <v>-17.499999999999886</v>
      </c>
      <c r="D113" s="142">
        <f t="shared" si="75"/>
        <v>-31.400000000000034</v>
      </c>
      <c r="E113" s="142">
        <f t="shared" si="75"/>
        <v>-33.899999999999977</v>
      </c>
      <c r="F113" s="142">
        <f t="shared" si="75"/>
        <v>5.2000000000000455</v>
      </c>
      <c r="G113" s="142">
        <f t="shared" si="75"/>
        <v>15.799999999999955</v>
      </c>
      <c r="H113" s="142">
        <f t="shared" si="75"/>
        <v>-28.5</v>
      </c>
      <c r="I113" s="142">
        <f t="shared" si="75"/>
        <v>-44.050000000000182</v>
      </c>
      <c r="J113" s="142">
        <f t="shared" si="75"/>
        <v>-39.149999999999977</v>
      </c>
      <c r="K113" s="142">
        <f t="shared" si="75"/>
        <v>27.149999999999977</v>
      </c>
      <c r="L113" s="142">
        <f t="shared" si="75"/>
        <v>-45.900000000000091</v>
      </c>
      <c r="M113" s="157"/>
      <c r="N113" s="157"/>
      <c r="O113" s="157"/>
      <c r="P113" s="117"/>
      <c r="Q113" s="117"/>
      <c r="R113" s="117"/>
      <c r="S113" s="117"/>
      <c r="T113" s="117"/>
      <c r="U113" s="118"/>
      <c r="V113" s="119"/>
      <c r="W113" s="119"/>
      <c r="X113" s="117"/>
      <c r="Y113" s="117"/>
      <c r="Z113" s="117"/>
      <c r="AA113" s="117"/>
      <c r="AB113" s="149"/>
      <c r="AC113" s="149"/>
      <c r="AD113" s="149"/>
      <c r="AE113" s="149"/>
      <c r="AF113" s="149"/>
      <c r="AG113" s="149"/>
      <c r="AH113" s="149"/>
      <c r="AI113" s="149"/>
      <c r="AJ113" s="149"/>
      <c r="AK113" s="149"/>
      <c r="AL113" s="149"/>
    </row>
    <row r="114" spans="1:38" outlineLevel="2" x14ac:dyDescent="0.15">
      <c r="A114" s="128"/>
      <c r="B114" s="163"/>
      <c r="C114" s="142"/>
      <c r="D114" s="142"/>
      <c r="E114" s="142"/>
      <c r="F114" s="142"/>
      <c r="G114" s="142"/>
      <c r="H114" s="142"/>
      <c r="I114" s="142"/>
      <c r="J114" s="142"/>
      <c r="K114" s="142"/>
      <c r="L114" s="142"/>
      <c r="P114" s="117"/>
      <c r="Q114" s="117"/>
      <c r="R114" s="117"/>
      <c r="S114" s="117"/>
      <c r="T114" s="117"/>
      <c r="U114" s="118"/>
      <c r="V114" s="119"/>
      <c r="W114" s="119"/>
      <c r="X114" s="117"/>
      <c r="Y114" s="117"/>
      <c r="Z114" s="117"/>
      <c r="AA114" s="159"/>
      <c r="AB114" s="149"/>
      <c r="AC114" s="149"/>
      <c r="AD114" s="149"/>
      <c r="AE114" s="149"/>
      <c r="AF114" s="149"/>
      <c r="AG114" s="149"/>
      <c r="AH114" s="149"/>
      <c r="AI114" s="149"/>
      <c r="AJ114" s="149"/>
      <c r="AK114" s="149"/>
      <c r="AL114" s="149"/>
    </row>
    <row r="115" spans="1:38" outlineLevel="2" x14ac:dyDescent="0.15">
      <c r="A115" s="108" t="s">
        <v>99</v>
      </c>
      <c r="B115" s="164">
        <f>CHOOSE(IF($B$1=2,2,1),'GAAP-IFRS'!E22,IF('Broker Actual'!E22="-",'GAAP-IFRS'!E22,'Broker Actual'!E22))</f>
        <v>894.4</v>
      </c>
      <c r="C115" s="164">
        <f>CHOOSE(IF($B$1=2,2,1),'GAAP-IFRS'!F22,IF('Broker Actual'!F22="-",'GAAP-IFRS'!F22,'Broker Actual'!F22))</f>
        <v>858.1</v>
      </c>
      <c r="D115" s="164">
        <f>CHOOSE(IF($B$1=2,2,1),'GAAP-IFRS'!G22,IF('Broker Actual'!G22="-",'GAAP-IFRS'!G22,'Broker Actual'!G22))</f>
        <v>413.4</v>
      </c>
      <c r="E115" s="164">
        <f>CHOOSE(IF($B$1=2,2,1),'GAAP-IFRS'!H22,IF('Broker Actual'!H22="-",'GAAP-IFRS'!H22,'Broker Actual'!H22))</f>
        <v>867.1</v>
      </c>
      <c r="F115" s="164">
        <f>CHOOSE(IF($B$1=2,2,1),'GAAP-IFRS'!I22,IF('Broker Actual'!I22="-",'GAAP-IFRS'!I22,'Broker Actual'!I22))</f>
        <v>931.4</v>
      </c>
      <c r="G115" s="164">
        <f>CHOOSE(IF($B$1=2,2,1),'GAAP-IFRS'!J22,IF('Broker Actual'!J22="-",'GAAP-IFRS'!J22,'Broker Actual'!J22))</f>
        <v>994.2</v>
      </c>
      <c r="H115" s="164">
        <f>CHOOSE(IF($B$1=2,2,1),'GAAP-IFRS'!K22,IF('Broker Actual'!K22="-",'GAAP-IFRS'!K22,'Broker Actual'!K22))</f>
        <v>523.4</v>
      </c>
      <c r="I115" s="164">
        <f>CHOOSE(IF($B$1=2,2,1),'GAAP-IFRS'!L22,IF('Broker Actual'!L22="-",'GAAP-IFRS'!L22,'Broker Actual'!L22))</f>
        <v>1100.3</v>
      </c>
      <c r="J115" s="164">
        <f>CHOOSE(IF($B$1=2,2,1),'GAAP-IFRS'!M22,IF('Broker Actual'!M22="-",'GAAP-IFRS'!M22,'Broker Actual'!M22))</f>
        <v>1005.4</v>
      </c>
      <c r="K115" s="164">
        <f>CHOOSE(IF($B$1=2,2,1),'GAAP-IFRS'!N22,IF('Broker Actual'!N22="-",'GAAP-IFRS'!N22,'Broker Actual'!N22))</f>
        <v>890.7</v>
      </c>
      <c r="L115" s="164">
        <f>CHOOSE(IF($B$1=2,2,1),'GAAP-IFRS'!O22,IF('Broker Actual'!O22="-",'GAAP-IFRS'!O22,'Broker Actual'!O22))</f>
        <v>1254.3</v>
      </c>
      <c r="M115" s="226">
        <f>M108-M110+M113</f>
        <v>1520.4016404642539</v>
      </c>
      <c r="N115" s="226">
        <f>N108-N110+N113</f>
        <v>2018.2477322823324</v>
      </c>
      <c r="O115" s="226">
        <f t="shared" ref="O115:Q115" si="76">O108-O110+O113</f>
        <v>1998.4999762658447</v>
      </c>
      <c r="P115" s="226">
        <f t="shared" si="76"/>
        <v>1877.4360009280317</v>
      </c>
      <c r="Q115" s="226">
        <f t="shared" si="76"/>
        <v>1827.532177657054</v>
      </c>
      <c r="R115" s="117"/>
      <c r="S115" s="117"/>
      <c r="T115" s="117"/>
      <c r="U115" s="118"/>
      <c r="V115" s="147" t="s">
        <v>78</v>
      </c>
      <c r="W115" s="147" t="s">
        <v>100</v>
      </c>
      <c r="X115" s="145" cm="1">
        <f t="array" ref="X115">_xll.FDSC("--",$A$1,""&amp;$V115&amp;"("&amp;$W115&amp;","&amp;D$2&amp;",ANNUAL_ROLL,+1,0,,,'CURRENCY="&amp;$E$1&amp;"')")</f>
        <v>1516</v>
      </c>
      <c r="Y115" s="145" t="e" cm="1">
        <f t="array" ref="Y115">_xll.FDSC("--",$A$1,""&amp;$V115&amp;"("&amp;$W115&amp;","&amp;E$2&amp;",ANNUAL_ROLL,+1,0,,,'CURRENCY="&amp;$E$1&amp;"')")</f>
        <v>#NUM!</v>
      </c>
      <c r="Z115" s="145" cm="1">
        <f t="array" ref="Z115">_xll.FDSC("--",$A$1,""&amp;$V115&amp;"("&amp;$W115&amp;","&amp;D$2&amp;",ANNUAL_ROLL,+3,0,,,'CURRENCY="&amp;$E$1&amp;"')")</f>
        <v>1539.3</v>
      </c>
      <c r="AA115" s="117"/>
      <c r="AB115" s="117"/>
      <c r="AC115" s="120"/>
    </row>
    <row r="116" spans="1:38" outlineLevel="2" x14ac:dyDescent="0.15">
      <c r="A116" s="128" t="s">
        <v>74</v>
      </c>
      <c r="B116" s="159"/>
      <c r="C116" s="138">
        <f>C115/B115-1</f>
        <v>-4.0585867620751337E-2</v>
      </c>
      <c r="D116" s="138">
        <f t="shared" ref="D116:Q116" si="77">D115/C115-1</f>
        <v>-0.51823796760284346</v>
      </c>
      <c r="E116" s="138">
        <f t="shared" si="77"/>
        <v>1.0974842767295598</v>
      </c>
      <c r="F116" s="138">
        <f t="shared" si="77"/>
        <v>7.4155230077268985E-2</v>
      </c>
      <c r="G116" s="138">
        <f t="shared" si="77"/>
        <v>6.7425381146660968E-2</v>
      </c>
      <c r="H116" s="138">
        <f t="shared" si="77"/>
        <v>-0.47354657010661838</v>
      </c>
      <c r="I116" s="138">
        <f t="shared" si="77"/>
        <v>1.1022162781811233</v>
      </c>
      <c r="J116" s="138">
        <f t="shared" si="77"/>
        <v>-8.624920476233755E-2</v>
      </c>
      <c r="K116" s="138">
        <f t="shared" si="77"/>
        <v>-0.11408394668788535</v>
      </c>
      <c r="L116" s="138">
        <f t="shared" si="77"/>
        <v>0.40821825530481637</v>
      </c>
      <c r="M116" s="138">
        <f t="shared" si="77"/>
        <v>0.21215151117296815</v>
      </c>
      <c r="N116" s="138">
        <f t="shared" si="77"/>
        <v>0.32744380074863733</v>
      </c>
      <c r="O116" s="138">
        <f t="shared" si="77"/>
        <v>-9.7846045857591379E-3</v>
      </c>
      <c r="P116" s="138">
        <f t="shared" si="77"/>
        <v>-6.0577421453873903E-2</v>
      </c>
      <c r="Q116" s="138">
        <f t="shared" si="77"/>
        <v>-2.6580838572558441E-2</v>
      </c>
      <c r="R116" s="117"/>
      <c r="S116" s="117"/>
      <c r="T116" s="117"/>
      <c r="U116" s="118"/>
      <c r="V116" s="169"/>
      <c r="W116" s="169"/>
      <c r="X116" s="159"/>
      <c r="Y116" s="159"/>
      <c r="Z116" s="159"/>
      <c r="AA116" s="117"/>
      <c r="AB116" s="117"/>
      <c r="AC116" s="120"/>
    </row>
    <row r="117" spans="1:38" outlineLevel="2" x14ac:dyDescent="0.15">
      <c r="A117" s="108"/>
      <c r="B117" s="145"/>
      <c r="C117" s="145"/>
      <c r="D117" s="145"/>
      <c r="E117" s="145"/>
      <c r="F117" s="145"/>
      <c r="G117" s="145"/>
      <c r="H117" s="145"/>
      <c r="I117" s="145"/>
      <c r="J117" s="145"/>
      <c r="K117" s="145"/>
      <c r="L117" s="145"/>
      <c r="M117" s="139"/>
      <c r="N117" s="139"/>
      <c r="O117" s="139"/>
      <c r="P117" s="117"/>
      <c r="Q117" s="117"/>
      <c r="R117" s="117"/>
      <c r="S117" s="117"/>
      <c r="T117" s="117"/>
      <c r="U117" s="118"/>
      <c r="V117" s="147"/>
      <c r="W117" s="147"/>
      <c r="X117" s="145"/>
      <c r="Y117" s="145"/>
      <c r="Z117" s="145"/>
      <c r="AA117" s="117"/>
      <c r="AB117" s="117"/>
      <c r="AC117" s="120"/>
    </row>
    <row r="118" spans="1:38" outlineLevel="2" x14ac:dyDescent="0.15">
      <c r="A118" s="78" t="s">
        <v>101</v>
      </c>
      <c r="B118" s="114"/>
      <c r="C118" s="165"/>
      <c r="D118" s="165"/>
      <c r="E118" s="145"/>
      <c r="F118" s="145"/>
      <c r="G118" s="145"/>
      <c r="H118" s="145"/>
      <c r="I118" s="145"/>
      <c r="J118" s="145"/>
      <c r="K118" s="145"/>
      <c r="L118" s="145"/>
      <c r="M118" s="261">
        <v>5.5</v>
      </c>
      <c r="N118" s="261">
        <v>5.5</v>
      </c>
      <c r="O118" s="261">
        <v>5.5</v>
      </c>
      <c r="P118" s="261">
        <v>5.5</v>
      </c>
      <c r="Q118" s="261">
        <v>5.5</v>
      </c>
      <c r="R118" s="117"/>
      <c r="S118" s="117"/>
      <c r="T118" s="117"/>
      <c r="U118" s="118"/>
      <c r="V118" s="147"/>
      <c r="W118" s="147"/>
      <c r="X118" s="145"/>
      <c r="Y118" s="145"/>
      <c r="Z118" s="145"/>
      <c r="AA118" s="117"/>
      <c r="AB118" s="117"/>
      <c r="AC118" s="120"/>
    </row>
    <row r="119" spans="1:38" outlineLevel="2" x14ac:dyDescent="0.15">
      <c r="A119" s="94" t="s">
        <v>102</v>
      </c>
      <c r="B119" s="166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39">
        <f>M124*M118</f>
        <v>42.839185566359617</v>
      </c>
      <c r="N119" s="139">
        <f t="shared" ref="N119:Q119" si="78">N124*N118</f>
        <v>60.492438842249747</v>
      </c>
      <c r="O119" s="139">
        <f t="shared" si="78"/>
        <v>64.091835973540213</v>
      </c>
      <c r="P119" s="139">
        <f t="shared" si="78"/>
        <v>62.96279271404984</v>
      </c>
      <c r="Q119" s="139">
        <f t="shared" si="78"/>
        <v>62.431223460334138</v>
      </c>
      <c r="R119" s="117"/>
      <c r="S119" s="117"/>
      <c r="T119" s="117"/>
      <c r="U119" s="118"/>
      <c r="V119" s="179"/>
      <c r="W119" s="179"/>
      <c r="X119" s="167"/>
      <c r="Y119" s="167"/>
      <c r="Z119" s="167"/>
      <c r="AA119" s="117"/>
      <c r="AB119" s="117"/>
      <c r="AC119" s="120"/>
    </row>
    <row r="120" spans="1:38" outlineLevel="2" x14ac:dyDescent="0.15">
      <c r="A120" s="78" t="s">
        <v>103</v>
      </c>
      <c r="B120" s="145"/>
      <c r="C120" s="145"/>
      <c r="D120" s="145"/>
      <c r="E120" s="145"/>
      <c r="F120" s="145"/>
      <c r="G120" s="145"/>
      <c r="H120" s="145"/>
      <c r="I120" s="145"/>
      <c r="J120" s="145"/>
      <c r="K120" s="145"/>
      <c r="L120" s="145"/>
      <c r="M120" s="261">
        <f>-M294/M119</f>
        <v>8.8936111475584294</v>
      </c>
      <c r="N120" s="261">
        <f>-N294/N119</f>
        <v>13.785383030682903</v>
      </c>
      <c r="O120" s="261">
        <f>-O294/O119</f>
        <v>13.444391294269719</v>
      </c>
      <c r="P120" s="261">
        <f>-P294/P119</f>
        <v>9.2226086005437402</v>
      </c>
      <c r="Q120" s="261">
        <f>-Q294/Q119</f>
        <v>5.5157068318504292</v>
      </c>
      <c r="R120" s="117"/>
      <c r="S120" s="117"/>
      <c r="T120" s="117"/>
      <c r="U120" s="118"/>
      <c r="V120" s="147"/>
      <c r="W120" s="147"/>
      <c r="X120" s="145"/>
      <c r="Y120" s="145"/>
      <c r="Z120" s="145"/>
      <c r="AA120" s="145"/>
      <c r="AB120" s="117"/>
      <c r="AC120" s="120"/>
    </row>
    <row r="121" spans="1:38" outlineLevel="2" x14ac:dyDescent="0.15">
      <c r="A121" s="94" t="s">
        <v>104</v>
      </c>
      <c r="B121" s="167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78">
        <f>L122-M120</f>
        <v>193.21578885244156</v>
      </c>
      <c r="N121" s="178">
        <f>M122-N120</f>
        <v>181.41461696931708</v>
      </c>
      <c r="O121" s="178">
        <f t="shared" ref="O121:Q121" si="79">N122-O120</f>
        <v>170.05560870573029</v>
      </c>
      <c r="P121" s="178">
        <f t="shared" si="79"/>
        <v>162.27739139945626</v>
      </c>
      <c r="Q121" s="178">
        <f t="shared" si="79"/>
        <v>158.48429316814958</v>
      </c>
      <c r="R121" s="117"/>
      <c r="S121" s="117"/>
      <c r="T121" s="117"/>
      <c r="U121" s="118"/>
      <c r="V121" s="179"/>
      <c r="W121" s="179"/>
      <c r="X121" s="167"/>
      <c r="Y121" s="167"/>
      <c r="Z121" s="167"/>
      <c r="AA121" s="159"/>
      <c r="AB121" s="117"/>
      <c r="AC121" s="120"/>
    </row>
    <row r="122" spans="1:38" outlineLevel="2" x14ac:dyDescent="0.15">
      <c r="A122" s="172" t="s">
        <v>105</v>
      </c>
      <c r="B122" s="173">
        <f>CHOOSE(IF($B$1=2,2,1),'GAAP-IFRS'!E24,IF('Broker Actual'!E24="-",'GAAP-IFRS'!E24,'Broker Actual'!E24))</f>
        <v>281.7568</v>
      </c>
      <c r="C122" s="173">
        <f>CHOOSE(IF($B$1=2,2,1),'GAAP-IFRS'!F24,IF('Broker Actual'!F24="-",'GAAP-IFRS'!F24,'Broker Actual'!F24))</f>
        <v>265.94920000000002</v>
      </c>
      <c r="D122" s="173">
        <f>CHOOSE(IF($B$1=2,2,1),'GAAP-IFRS'!G24,IF('Broker Actual'!G24="-",'GAAP-IFRS'!G24,'Broker Actual'!G24))</f>
        <v>256.65280000000001</v>
      </c>
      <c r="E122" s="173">
        <f>CHOOSE(IF($B$1=2,2,1),'GAAP-IFRS'!H24,IF('Broker Actual'!H24="-",'GAAP-IFRS'!H24,'Broker Actual'!H24))</f>
        <v>247.85470000000001</v>
      </c>
      <c r="F122" s="173">
        <f>CHOOSE(IF($B$1=2,2,1),'GAAP-IFRS'!I24,IF('Broker Actual'!I24="-",'GAAP-IFRS'!I24,'Broker Actual'!I24))</f>
        <v>235.97919999999999</v>
      </c>
      <c r="G122" s="173">
        <f>CHOOSE(IF($B$1=2,2,1),'GAAP-IFRS'!J24,IF('Broker Actual'!J24="-",'GAAP-IFRS'!J24,'Broker Actual'!J24))</f>
        <v>227.33519999999999</v>
      </c>
      <c r="H122" s="173">
        <f>CHOOSE(IF($B$1=2,2,1),'GAAP-IFRS'!K24,IF('Broker Actual'!K24="-",'GAAP-IFRS'!K24,'Broker Actual'!K24))</f>
        <v>220.05860000000001</v>
      </c>
      <c r="I122" s="173">
        <f>CHOOSE(IF($B$1=2,2,1),'GAAP-IFRS'!L24,IF('Broker Actual'!L24="-",'GAAP-IFRS'!L24,'Broker Actual'!L24))</f>
        <v>209.8544</v>
      </c>
      <c r="J122" s="173">
        <f>CHOOSE(IF($B$1=2,2,1),'GAAP-IFRS'!M24,IF('Broker Actual'!M24="-",'GAAP-IFRS'!M24,'Broker Actual'!M24))</f>
        <v>203.75530000000001</v>
      </c>
      <c r="K122" s="173">
        <f>CHOOSE(IF($B$1=2,2,1),'GAAP-IFRS'!N24,IF('Broker Actual'!N24="-",'GAAP-IFRS'!N24,'Broker Actual'!N24))</f>
        <v>204.84790000000001</v>
      </c>
      <c r="L122" s="173">
        <f>CHOOSE(IF($B$1=2,2,1),'GAAP-IFRS'!O24,IF('Broker Actual'!O24="-",'GAAP-IFRS'!O24,'Broker Actual'!O24))</f>
        <v>202.10939999999999</v>
      </c>
      <c r="M122" s="261">
        <v>195.2</v>
      </c>
      <c r="N122" s="261">
        <v>183.5</v>
      </c>
      <c r="O122" s="261">
        <v>171.5</v>
      </c>
      <c r="P122" s="261">
        <v>164</v>
      </c>
      <c r="Q122" s="261">
        <v>161</v>
      </c>
      <c r="R122" s="117"/>
      <c r="S122" s="117"/>
      <c r="T122" s="117"/>
      <c r="U122" s="118"/>
      <c r="V122" s="180"/>
      <c r="W122" s="180"/>
      <c r="X122" s="175"/>
      <c r="Y122" s="175"/>
      <c r="Z122" s="175"/>
      <c r="AA122" s="145"/>
      <c r="AB122" s="117"/>
      <c r="AC122" s="120"/>
    </row>
    <row r="123" spans="1:38" outlineLevel="2" x14ac:dyDescent="0.15">
      <c r="A123" s="174" t="s">
        <v>74</v>
      </c>
      <c r="B123" s="175"/>
      <c r="C123" s="138">
        <f>C122/B122-1</f>
        <v>-5.6103703619575396E-2</v>
      </c>
      <c r="D123" s="138">
        <f t="shared" ref="D123:Q123" si="80">D122/C122-1</f>
        <v>-3.4955547901629358E-2</v>
      </c>
      <c r="E123" s="138">
        <f t="shared" si="80"/>
        <v>-3.428016370754583E-2</v>
      </c>
      <c r="F123" s="138">
        <f t="shared" si="80"/>
        <v>-4.7913152342884846E-2</v>
      </c>
      <c r="G123" s="138">
        <f t="shared" si="80"/>
        <v>-3.6630347081437753E-2</v>
      </c>
      <c r="H123" s="138">
        <f t="shared" si="80"/>
        <v>-3.200824157455584E-2</v>
      </c>
      <c r="I123" s="138">
        <f t="shared" si="80"/>
        <v>-4.637037589078552E-2</v>
      </c>
      <c r="J123" s="138">
        <f t="shared" si="80"/>
        <v>-2.9063484015584118E-2</v>
      </c>
      <c r="K123" s="138">
        <f t="shared" si="80"/>
        <v>5.3623145017578366E-3</v>
      </c>
      <c r="L123" s="138">
        <f t="shared" si="80"/>
        <v>-1.3368455327098849E-2</v>
      </c>
      <c r="M123" s="138">
        <f t="shared" si="80"/>
        <v>-3.4186435663061676E-2</v>
      </c>
      <c r="N123" s="138">
        <f t="shared" si="80"/>
        <v>-5.9938524590163911E-2</v>
      </c>
      <c r="O123" s="138">
        <f t="shared" si="80"/>
        <v>-6.5395095367847378E-2</v>
      </c>
      <c r="P123" s="138">
        <f t="shared" si="80"/>
        <v>-4.3731778425656009E-2</v>
      </c>
      <c r="Q123" s="138">
        <f t="shared" si="80"/>
        <v>-1.8292682926829285E-2</v>
      </c>
      <c r="R123" s="111"/>
      <c r="S123" s="111"/>
      <c r="T123" s="111"/>
      <c r="V123" s="180"/>
      <c r="W123" s="180"/>
      <c r="X123" s="175"/>
      <c r="Y123" s="175"/>
      <c r="Z123" s="175"/>
      <c r="AA123" s="145"/>
    </row>
    <row r="124" spans="1:38" outlineLevel="2" collapsed="1" x14ac:dyDescent="0.15">
      <c r="A124" s="176" t="s">
        <v>106</v>
      </c>
      <c r="B124" s="177">
        <f>CHOOSE(IF($B$1=2,2,1),'GAAP-IFRS'!E25,IF('Broker Actual'!E25="-",'GAAP-IFRS'!E25,'Broker Actual'!E25))</f>
        <v>3.15</v>
      </c>
      <c r="C124" s="177">
        <f>CHOOSE(IF($B$1=2,2,1),'GAAP-IFRS'!F25,IF('Broker Actual'!F25="-",'GAAP-IFRS'!F25,'Broker Actual'!F25))</f>
        <v>3.32</v>
      </c>
      <c r="D124" s="177">
        <f>CHOOSE(IF($B$1=2,2,1),'GAAP-IFRS'!G25,IF('Broker Actual'!G25="-",'GAAP-IFRS'!G25,'Broker Actual'!G25))</f>
        <v>3.55</v>
      </c>
      <c r="E124" s="177">
        <f>CHOOSE(IF($B$1=2,2,1),'GAAP-IFRS'!H25,IF('Broker Actual'!H25="-",'GAAP-IFRS'!H25,'Broker Actual'!H25))</f>
        <v>3.64</v>
      </c>
      <c r="F124" s="177">
        <f>CHOOSE(IF($B$1=2,2,1),'GAAP-IFRS'!I25,IF('Broker Actual'!I25="-",'GAAP-IFRS'!I25,'Broker Actual'!I25))</f>
        <v>3.92</v>
      </c>
      <c r="G124" s="177">
        <f>CHOOSE(IF($B$1=2,2,1),'GAAP-IFRS'!J25,IF('Broker Actual'!J25="-",'GAAP-IFRS'!J25,'Broker Actual'!J25))</f>
        <v>4.29</v>
      </c>
      <c r="H124" s="177">
        <f>CHOOSE(IF($B$1=2,2,1),'GAAP-IFRS'!K25,IF('Broker Actual'!K25="-",'GAAP-IFRS'!K25,'Broker Actual'!K25))</f>
        <v>5.2</v>
      </c>
      <c r="I124" s="177">
        <f>CHOOSE(IF($B$1=2,2,1),'GAAP-IFRS'!L25,IF('Broker Actual'!L25="-",'GAAP-IFRS'!L25,'Broker Actual'!L25))</f>
        <v>5.44</v>
      </c>
      <c r="J124" s="177">
        <f>CHOOSE(IF($B$1=2,2,1),'GAAP-IFRS'!M25,IF('Broker Actual'!M25="-",'GAAP-IFRS'!M25,'Broker Actual'!M25))</f>
        <v>4.93</v>
      </c>
      <c r="K124" s="177">
        <f>CHOOSE(IF($B$1=2,2,1),'GAAP-IFRS'!N25,IF('Broker Actual'!N25="-",'GAAP-IFRS'!N25,'Broker Actual'!N25))</f>
        <v>4.3499999999999996</v>
      </c>
      <c r="L124" s="177">
        <f>CHOOSE(IF($B$1=2,2,1),'GAAP-IFRS'!O25,IF('Broker Actual'!O25="-",'GAAP-IFRS'!O25,'Broker Actual'!O25))</f>
        <v>6.21</v>
      </c>
      <c r="M124" s="228">
        <f>M115/M122</f>
        <v>7.788942830247203</v>
      </c>
      <c r="N124" s="228">
        <f>N115/N122</f>
        <v>10.998625244045408</v>
      </c>
      <c r="O124" s="228">
        <f t="shared" ref="O124:Q124" si="81">O115/O122</f>
        <v>11.653061086098219</v>
      </c>
      <c r="P124" s="228">
        <f t="shared" si="81"/>
        <v>11.447780493463608</v>
      </c>
      <c r="Q124" s="228">
        <f t="shared" si="81"/>
        <v>11.351131538242571</v>
      </c>
      <c r="R124" s="117"/>
      <c r="S124" s="117"/>
      <c r="T124" s="117"/>
      <c r="U124" s="118"/>
      <c r="V124" s="180"/>
      <c r="W124" s="180"/>
      <c r="X124" s="175"/>
      <c r="Y124" s="175"/>
      <c r="Z124" s="175"/>
      <c r="AA124" s="167"/>
      <c r="AB124" s="117"/>
      <c r="AC124" s="120"/>
    </row>
    <row r="125" spans="1:38" outlineLevel="1" x14ac:dyDescent="0.15">
      <c r="A125" s="128" t="s">
        <v>74</v>
      </c>
      <c r="B125" s="159"/>
      <c r="C125" s="138">
        <f>C124/B124-1</f>
        <v>5.3968253968253999E-2</v>
      </c>
      <c r="D125" s="138">
        <f t="shared" ref="D125:Q125" si="82">D124/C124-1</f>
        <v>6.9277108433734913E-2</v>
      </c>
      <c r="E125" s="138">
        <f t="shared" si="82"/>
        <v>2.5352112676056526E-2</v>
      </c>
      <c r="F125" s="138">
        <f t="shared" si="82"/>
        <v>7.6923076923076872E-2</v>
      </c>
      <c r="G125" s="138">
        <f t="shared" si="82"/>
        <v>9.4387755102040893E-2</v>
      </c>
      <c r="H125" s="138">
        <f t="shared" si="82"/>
        <v>0.21212121212121215</v>
      </c>
      <c r="I125" s="138">
        <f t="shared" si="82"/>
        <v>4.6153846153846212E-2</v>
      </c>
      <c r="J125" s="138">
        <f t="shared" si="82"/>
        <v>-9.3750000000000111E-2</v>
      </c>
      <c r="K125" s="138">
        <f t="shared" si="82"/>
        <v>-0.11764705882352944</v>
      </c>
      <c r="L125" s="138">
        <f t="shared" si="82"/>
        <v>0.42758620689655191</v>
      </c>
      <c r="M125" s="138">
        <f t="shared" si="82"/>
        <v>0.25425810470969457</v>
      </c>
      <c r="N125" s="138">
        <f t="shared" si="82"/>
        <v>0.4120819068454169</v>
      </c>
      <c r="O125" s="138">
        <f t="shared" si="82"/>
        <v>5.9501603839727135E-2</v>
      </c>
      <c r="P125" s="138">
        <f t="shared" si="82"/>
        <v>-1.7616023044752183E-2</v>
      </c>
      <c r="Q125" s="138">
        <f t="shared" si="82"/>
        <v>-8.4425933285688926E-3</v>
      </c>
      <c r="R125" s="111"/>
      <c r="S125" s="111"/>
      <c r="T125" s="111"/>
      <c r="V125" s="169"/>
      <c r="W125" s="169"/>
      <c r="X125" s="159"/>
      <c r="Y125" s="159"/>
      <c r="Z125" s="159"/>
      <c r="AA125" s="145"/>
    </row>
    <row r="126" spans="1:38" outlineLevel="1" x14ac:dyDescent="0.15">
      <c r="A126" s="128"/>
      <c r="B126" s="159"/>
      <c r="C126" s="138"/>
      <c r="D126" s="138"/>
      <c r="E126" s="138"/>
      <c r="F126" s="138"/>
      <c r="G126" s="138"/>
      <c r="H126" s="138"/>
      <c r="I126" s="138"/>
      <c r="J126" s="138"/>
      <c r="K126" s="138"/>
      <c r="L126" s="138"/>
      <c r="N126" s="139"/>
      <c r="P126" s="117"/>
      <c r="Q126" s="117"/>
      <c r="R126" s="117"/>
      <c r="S126" s="117"/>
      <c r="T126" s="117"/>
      <c r="U126" s="118"/>
      <c r="V126" s="169"/>
      <c r="W126" s="169"/>
      <c r="X126" s="159"/>
      <c r="Y126" s="159"/>
      <c r="Z126" s="159"/>
      <c r="AA126" s="167"/>
      <c r="AB126" s="117"/>
      <c r="AC126" s="120"/>
    </row>
    <row r="127" spans="1:38" outlineLevel="1" x14ac:dyDescent="0.15">
      <c r="A127" s="128"/>
      <c r="B127" s="159"/>
      <c r="C127" s="138"/>
      <c r="D127" s="138"/>
      <c r="E127" s="138"/>
      <c r="F127" s="138"/>
      <c r="G127" s="138"/>
      <c r="H127" s="138"/>
      <c r="I127" s="138"/>
      <c r="J127" s="138"/>
      <c r="K127" s="138"/>
      <c r="L127" s="152" t="s">
        <v>588</v>
      </c>
      <c r="M127" s="227">
        <f ca="1">(M124*M4)+(N4*N124)</f>
        <v>11.007418894494171</v>
      </c>
      <c r="N127" s="227">
        <f ca="1">(N124*M4)+(O124*N4)</f>
        <v>11.654854061007955</v>
      </c>
      <c r="P127" s="117"/>
      <c r="Q127" s="117"/>
      <c r="R127" s="117"/>
      <c r="S127" s="117"/>
      <c r="T127" s="117"/>
      <c r="U127" s="118"/>
      <c r="V127" s="169"/>
      <c r="W127" s="169"/>
      <c r="X127" s="159"/>
      <c r="Y127" s="159"/>
      <c r="Z127" s="159"/>
      <c r="AA127" s="175"/>
      <c r="AB127" s="117"/>
      <c r="AC127" s="120"/>
    </row>
    <row r="128" spans="1:38" outlineLevel="1" x14ac:dyDescent="0.15">
      <c r="A128" s="128"/>
      <c r="B128" s="159"/>
      <c r="C128" s="138"/>
      <c r="D128" s="138"/>
      <c r="E128" s="138"/>
      <c r="F128" s="138"/>
      <c r="G128" s="138"/>
      <c r="H128" s="138"/>
      <c r="I128" s="138"/>
      <c r="J128" s="138"/>
      <c r="K128" s="138"/>
      <c r="L128" s="138"/>
      <c r="O128" s="227"/>
      <c r="P128" s="117"/>
      <c r="Q128" s="117"/>
      <c r="R128" s="117"/>
      <c r="S128" s="117"/>
      <c r="T128" s="117"/>
      <c r="U128" s="118"/>
      <c r="V128" s="169"/>
      <c r="W128" s="169"/>
      <c r="X128" s="159"/>
      <c r="Y128" s="159"/>
      <c r="Z128" s="159"/>
      <c r="AA128" s="175"/>
      <c r="AB128" s="117"/>
      <c r="AC128" s="120"/>
    </row>
    <row r="129" spans="1:30" outlineLevel="1" collapsed="1" x14ac:dyDescent="0.15">
      <c r="A129" s="128"/>
      <c r="B129" s="159"/>
      <c r="C129" s="138"/>
      <c r="D129" s="138"/>
      <c r="E129" s="138"/>
      <c r="F129" s="138"/>
      <c r="G129" s="138"/>
      <c r="H129" s="138"/>
      <c r="I129" s="138"/>
      <c r="J129" s="138"/>
      <c r="K129" s="138"/>
      <c r="L129" s="138"/>
      <c r="N129" s="227"/>
      <c r="O129" s="227"/>
      <c r="P129" s="117"/>
      <c r="Q129" s="117"/>
      <c r="R129" s="117"/>
      <c r="S129" s="117"/>
      <c r="T129" s="117"/>
      <c r="U129" s="118"/>
      <c r="V129" s="169"/>
      <c r="W129" s="169"/>
      <c r="X129" s="159"/>
      <c r="Y129" s="159"/>
      <c r="Z129" s="159"/>
      <c r="AA129" s="175"/>
      <c r="AB129" s="117"/>
      <c r="AC129" s="120"/>
    </row>
    <row r="130" spans="1:30" s="108" customFormat="1" outlineLevel="1" x14ac:dyDescent="0.15">
      <c r="A130" s="128"/>
      <c r="B130" s="159"/>
      <c r="C130" s="138"/>
      <c r="D130" s="138"/>
      <c r="E130" s="138"/>
      <c r="F130" s="138"/>
      <c r="G130" s="138"/>
      <c r="H130" s="138"/>
      <c r="I130" s="138"/>
      <c r="J130" s="138"/>
      <c r="K130" s="138"/>
      <c r="L130" s="138"/>
      <c r="M130" s="75"/>
      <c r="N130" s="227"/>
      <c r="O130" s="227"/>
      <c r="P130" s="145"/>
      <c r="Q130" s="145"/>
      <c r="R130" s="145"/>
      <c r="S130" s="145"/>
      <c r="T130" s="145"/>
      <c r="U130" s="146"/>
      <c r="V130" s="169"/>
      <c r="W130" s="169"/>
      <c r="X130" s="159"/>
      <c r="Y130" s="159"/>
      <c r="Z130" s="159"/>
      <c r="AA130" s="159"/>
      <c r="AB130" s="145"/>
      <c r="AC130" s="158"/>
    </row>
    <row r="131" spans="1:30" outlineLevel="1" x14ac:dyDescent="0.15">
      <c r="A131" s="128"/>
      <c r="B131" s="159"/>
      <c r="C131" s="138"/>
      <c r="D131" s="138"/>
      <c r="E131" s="138"/>
      <c r="F131" s="138"/>
      <c r="G131" s="138"/>
      <c r="H131" s="138"/>
      <c r="I131" s="138"/>
      <c r="J131" s="138"/>
      <c r="K131" s="138"/>
      <c r="L131" s="138"/>
      <c r="P131" s="117"/>
      <c r="Q131" s="117"/>
      <c r="R131" s="117"/>
      <c r="S131" s="117"/>
      <c r="T131" s="117"/>
      <c r="U131" s="118"/>
      <c r="V131" s="169"/>
      <c r="W131" s="169"/>
      <c r="X131" s="159"/>
      <c r="Y131" s="159"/>
      <c r="Z131" s="159"/>
      <c r="AA131" s="159"/>
      <c r="AB131" s="117"/>
      <c r="AC131" s="120"/>
    </row>
    <row r="132" spans="1:30" outlineLevel="1" x14ac:dyDescent="0.15">
      <c r="A132" s="128"/>
      <c r="B132" s="159"/>
      <c r="C132" s="138"/>
      <c r="D132" s="138"/>
      <c r="E132" s="138"/>
      <c r="F132" s="138"/>
      <c r="G132" s="138"/>
      <c r="H132" s="138"/>
      <c r="I132" s="138"/>
      <c r="J132" s="138"/>
      <c r="K132" s="138"/>
      <c r="L132" s="138"/>
      <c r="P132" s="117"/>
      <c r="Q132" s="117"/>
      <c r="R132" s="117"/>
      <c r="S132" s="117"/>
      <c r="T132" s="117"/>
      <c r="U132" s="118"/>
      <c r="V132" s="169"/>
      <c r="W132" s="169"/>
      <c r="X132" s="159"/>
      <c r="Y132" s="159"/>
      <c r="Z132" s="159"/>
      <c r="AA132" s="159"/>
      <c r="AB132" s="117"/>
      <c r="AC132" s="120"/>
    </row>
    <row r="133" spans="1:30" outlineLevel="1" x14ac:dyDescent="0.15">
      <c r="A133" s="128"/>
      <c r="B133" s="159"/>
      <c r="C133" s="138"/>
      <c r="D133" s="138"/>
      <c r="E133" s="138"/>
      <c r="F133" s="138"/>
      <c r="G133" s="138"/>
      <c r="H133" s="138"/>
      <c r="I133" s="138"/>
      <c r="J133" s="138"/>
      <c r="K133" s="138"/>
      <c r="L133" s="138"/>
      <c r="P133" s="117"/>
      <c r="Q133" s="117"/>
      <c r="R133" s="117"/>
      <c r="S133" s="117"/>
      <c r="T133" s="117"/>
      <c r="U133" s="118"/>
      <c r="V133" s="169"/>
      <c r="W133" s="169"/>
      <c r="X133" s="159"/>
      <c r="Y133" s="159"/>
      <c r="Z133" s="159"/>
      <c r="AA133" s="159"/>
      <c r="AB133" s="117"/>
      <c r="AC133" s="120"/>
    </row>
    <row r="134" spans="1:30" s="94" customFormat="1" outlineLevel="1" x14ac:dyDescent="0.15">
      <c r="A134" s="128"/>
      <c r="B134" s="159"/>
      <c r="C134" s="138"/>
      <c r="D134" s="138"/>
      <c r="E134" s="138"/>
      <c r="F134" s="138"/>
      <c r="G134" s="138"/>
      <c r="H134" s="138"/>
      <c r="I134" s="138"/>
      <c r="J134" s="138"/>
      <c r="K134" s="138"/>
      <c r="L134" s="138"/>
      <c r="M134" s="75"/>
      <c r="N134" s="75"/>
      <c r="O134" s="75"/>
      <c r="P134" s="155"/>
      <c r="Q134" s="155"/>
      <c r="R134" s="155"/>
      <c r="S134" s="155"/>
      <c r="T134" s="155"/>
      <c r="U134" s="160"/>
      <c r="V134" s="169"/>
      <c r="W134" s="169"/>
      <c r="X134" s="159"/>
      <c r="Y134" s="159"/>
      <c r="Z134" s="159"/>
      <c r="AA134" s="159"/>
      <c r="AB134" s="155"/>
      <c r="AC134" s="162"/>
    </row>
    <row r="135" spans="1:30" outlineLevel="1" x14ac:dyDescent="0.15">
      <c r="A135" s="128"/>
      <c r="B135" s="159"/>
      <c r="C135" s="138"/>
      <c r="D135" s="138"/>
      <c r="E135" s="138"/>
      <c r="F135" s="436"/>
      <c r="G135" s="138"/>
      <c r="H135" s="138"/>
      <c r="I135" s="138"/>
      <c r="J135" s="138"/>
      <c r="K135" s="138"/>
      <c r="L135" s="138"/>
      <c r="P135" s="117"/>
      <c r="Q135" s="117"/>
      <c r="R135" s="117"/>
      <c r="S135" s="117"/>
      <c r="T135" s="117"/>
      <c r="U135" s="118"/>
      <c r="V135" s="169"/>
      <c r="W135" s="169"/>
      <c r="X135" s="159"/>
      <c r="Y135" s="159"/>
      <c r="Z135" s="159"/>
      <c r="AA135" s="159"/>
      <c r="AB135" s="117"/>
      <c r="AC135" s="120"/>
    </row>
    <row r="136" spans="1:30" outlineLevel="1" x14ac:dyDescent="0.15">
      <c r="A136" s="128"/>
      <c r="B136" s="159"/>
      <c r="C136" s="138"/>
      <c r="D136" s="138"/>
      <c r="E136" s="138"/>
      <c r="F136" s="138"/>
      <c r="G136" s="138"/>
      <c r="H136" s="138"/>
      <c r="I136" s="138"/>
      <c r="J136" s="138"/>
      <c r="K136" s="138"/>
      <c r="L136" s="138"/>
      <c r="P136" s="117"/>
      <c r="Q136" s="117"/>
      <c r="R136" s="117"/>
      <c r="S136" s="117"/>
      <c r="T136" s="117"/>
      <c r="U136" s="118"/>
      <c r="V136" s="169"/>
      <c r="W136" s="169"/>
      <c r="X136" s="159"/>
      <c r="Y136" s="159"/>
      <c r="Z136" s="159"/>
      <c r="AA136" s="159"/>
      <c r="AB136" s="117"/>
      <c r="AC136" s="120"/>
    </row>
    <row r="137" spans="1:30" outlineLevel="1" x14ac:dyDescent="0.15">
      <c r="A137" s="128"/>
      <c r="B137" s="159"/>
      <c r="C137" s="138"/>
      <c r="D137" s="138"/>
      <c r="E137" s="138"/>
      <c r="F137" s="138"/>
      <c r="G137" s="138"/>
      <c r="H137" s="138"/>
      <c r="I137" s="138"/>
      <c r="J137" s="138"/>
      <c r="K137" s="138"/>
      <c r="L137" s="138"/>
      <c r="P137" s="117"/>
      <c r="Q137" s="117"/>
      <c r="R137" s="117"/>
      <c r="S137" s="117"/>
      <c r="T137" s="117"/>
      <c r="U137" s="118"/>
      <c r="V137" s="169"/>
      <c r="W137" s="169"/>
      <c r="X137" s="159"/>
      <c r="Y137" s="159"/>
      <c r="Z137" s="159"/>
      <c r="AA137" s="159"/>
      <c r="AB137" s="117"/>
      <c r="AC137" s="120"/>
    </row>
    <row r="138" spans="1:30" outlineLevel="1" x14ac:dyDescent="0.15">
      <c r="A138" s="128"/>
      <c r="B138" s="159"/>
      <c r="C138" s="138"/>
      <c r="D138" s="138"/>
      <c r="E138" s="138"/>
      <c r="F138" s="138"/>
      <c r="G138" s="138"/>
      <c r="H138" s="138"/>
      <c r="I138" s="138"/>
      <c r="J138" s="138"/>
      <c r="K138" s="138"/>
      <c r="L138" s="138"/>
      <c r="P138" s="117"/>
      <c r="Q138" s="117"/>
      <c r="R138" s="117"/>
      <c r="S138" s="117"/>
      <c r="T138" s="117"/>
      <c r="U138" s="118"/>
      <c r="W138" s="77"/>
      <c r="X138" s="111"/>
      <c r="Y138" s="111"/>
      <c r="Z138" s="111"/>
      <c r="AA138" s="159"/>
      <c r="AB138" s="117"/>
      <c r="AC138" s="120"/>
    </row>
    <row r="139" spans="1:30" outlineLevel="1" x14ac:dyDescent="0.15">
      <c r="A139" s="128"/>
      <c r="B139" s="159"/>
      <c r="C139" s="138"/>
      <c r="D139" s="138"/>
      <c r="E139" s="138"/>
      <c r="F139" s="138"/>
      <c r="G139" s="138"/>
      <c r="H139" s="138"/>
      <c r="I139" s="138"/>
      <c r="J139" s="138"/>
      <c r="K139" s="138"/>
      <c r="L139" s="138"/>
      <c r="P139" s="117"/>
      <c r="Q139" s="117"/>
      <c r="R139" s="117"/>
      <c r="S139" s="117"/>
      <c r="T139" s="117"/>
      <c r="U139" s="118"/>
      <c r="W139" s="77"/>
      <c r="X139" s="111"/>
      <c r="Y139" s="111"/>
      <c r="Z139" s="111"/>
      <c r="AA139" s="159"/>
      <c r="AB139" s="117"/>
      <c r="AC139" s="120"/>
    </row>
    <row r="140" spans="1:30" outlineLevel="1" x14ac:dyDescent="0.15">
      <c r="A140" s="128"/>
      <c r="B140" s="159"/>
      <c r="C140" s="138"/>
      <c r="D140" s="138"/>
      <c r="E140" s="138"/>
      <c r="F140" s="138"/>
      <c r="G140" s="138"/>
      <c r="H140" s="138"/>
      <c r="I140" s="138"/>
      <c r="J140" s="138"/>
      <c r="K140" s="138"/>
      <c r="L140" s="138"/>
      <c r="P140" s="117"/>
      <c r="Q140" s="117"/>
      <c r="R140" s="117"/>
      <c r="S140" s="117"/>
      <c r="T140" s="117"/>
      <c r="U140" s="118"/>
      <c r="W140" s="77"/>
      <c r="X140" s="111"/>
      <c r="Y140" s="111"/>
      <c r="Z140" s="111"/>
      <c r="AA140" s="159"/>
      <c r="AB140" s="117"/>
      <c r="AC140" s="120"/>
    </row>
    <row r="141" spans="1:30" outlineLevel="1" x14ac:dyDescent="0.15">
      <c r="A141" s="128"/>
      <c r="B141" s="159"/>
      <c r="C141" s="138"/>
      <c r="D141" s="138"/>
      <c r="E141" s="138"/>
      <c r="F141" s="138"/>
      <c r="G141" s="138"/>
      <c r="H141" s="138"/>
      <c r="I141" s="138"/>
      <c r="J141" s="138"/>
      <c r="K141" s="138"/>
      <c r="L141" s="138"/>
      <c r="P141" s="117"/>
      <c r="Q141" s="117"/>
      <c r="R141" s="117"/>
      <c r="S141" s="117"/>
      <c r="T141" s="117"/>
      <c r="U141" s="118"/>
      <c r="W141" s="77"/>
      <c r="X141" s="111"/>
      <c r="Y141" s="111"/>
      <c r="Z141" s="111"/>
      <c r="AA141" s="159"/>
      <c r="AB141" s="117"/>
      <c r="AC141" s="120"/>
    </row>
    <row r="142" spans="1:30" outlineLevel="1" x14ac:dyDescent="0.15">
      <c r="A142" s="128"/>
      <c r="B142" s="159"/>
      <c r="C142" s="138"/>
      <c r="D142" s="138"/>
      <c r="E142" s="138"/>
      <c r="F142" s="138"/>
      <c r="G142" s="138"/>
      <c r="H142" s="138"/>
      <c r="I142" s="138"/>
      <c r="J142" s="138"/>
      <c r="K142" s="138"/>
      <c r="L142" s="138"/>
      <c r="P142" s="117"/>
      <c r="Q142" s="117"/>
      <c r="R142" s="117"/>
      <c r="S142" s="117"/>
      <c r="T142" s="117"/>
      <c r="U142" s="118"/>
      <c r="W142" s="77"/>
      <c r="X142" s="111"/>
      <c r="Y142" s="111"/>
      <c r="Z142" s="111"/>
      <c r="AA142" s="159"/>
      <c r="AB142" s="117"/>
      <c r="AC142" s="120"/>
    </row>
    <row r="143" spans="1:30" s="108" customFormat="1" outlineLevel="1" x14ac:dyDescent="0.15">
      <c r="A143" s="128"/>
      <c r="B143" s="159"/>
      <c r="C143" s="138"/>
      <c r="D143" s="138"/>
      <c r="E143" s="138"/>
      <c r="F143" s="138"/>
      <c r="G143" s="138"/>
      <c r="H143" s="138"/>
      <c r="I143" s="138"/>
      <c r="J143" s="138"/>
      <c r="K143" s="138"/>
      <c r="L143" s="138"/>
      <c r="M143" s="75"/>
      <c r="N143" s="75"/>
      <c r="O143" s="75"/>
      <c r="P143" s="159"/>
      <c r="Q143" s="159"/>
      <c r="R143" s="159"/>
      <c r="S143" s="159"/>
      <c r="T143" s="159"/>
      <c r="U143" s="168"/>
      <c r="V143" s="77"/>
      <c r="W143" s="77"/>
      <c r="X143" s="111"/>
      <c r="Y143" s="111"/>
      <c r="Z143" s="111"/>
      <c r="AA143" s="111"/>
      <c r="AB143" s="159"/>
      <c r="AC143" s="170"/>
      <c r="AD143" s="171"/>
    </row>
    <row r="144" spans="1:30" outlineLevel="1" x14ac:dyDescent="0.15">
      <c r="A144" s="128"/>
      <c r="B144" s="159"/>
      <c r="C144" s="138"/>
      <c r="D144" s="138"/>
      <c r="E144" s="138"/>
      <c r="F144" s="138"/>
      <c r="G144" s="138"/>
      <c r="H144" s="138"/>
      <c r="I144" s="138"/>
      <c r="J144" s="138"/>
      <c r="K144" s="138"/>
      <c r="L144" s="138"/>
      <c r="P144" s="117"/>
      <c r="Q144" s="117"/>
      <c r="R144" s="117"/>
      <c r="S144" s="117"/>
      <c r="T144" s="117"/>
      <c r="U144" s="118"/>
      <c r="W144" s="77"/>
      <c r="X144" s="111"/>
      <c r="Y144" s="111"/>
      <c r="Z144" s="111"/>
      <c r="AA144" s="111"/>
      <c r="AB144" s="117"/>
      <c r="AC144" s="120"/>
    </row>
    <row r="145" spans="1:29" outlineLevel="1" x14ac:dyDescent="0.15">
      <c r="A145" s="128"/>
      <c r="B145" s="159"/>
      <c r="C145" s="138"/>
      <c r="D145" s="138"/>
      <c r="E145" s="138"/>
      <c r="F145" s="138"/>
      <c r="G145" s="138"/>
      <c r="H145" s="138"/>
      <c r="I145" s="138"/>
      <c r="J145" s="138"/>
      <c r="K145" s="138"/>
      <c r="L145" s="138"/>
      <c r="P145" s="117"/>
      <c r="Q145" s="117"/>
      <c r="R145" s="117"/>
      <c r="S145" s="117"/>
      <c r="T145" s="117"/>
      <c r="U145" s="118"/>
      <c r="AA145" s="111"/>
      <c r="AB145" s="117"/>
      <c r="AC145" s="120"/>
    </row>
    <row r="146" spans="1:29" outlineLevel="1" x14ac:dyDescent="0.15">
      <c r="A146" s="128"/>
      <c r="B146" s="159"/>
      <c r="C146" s="138"/>
      <c r="D146" s="138"/>
      <c r="E146" s="138"/>
      <c r="F146" s="138"/>
      <c r="G146" s="138"/>
      <c r="H146" s="138"/>
      <c r="I146" s="138"/>
      <c r="J146" s="138"/>
      <c r="K146" s="138"/>
      <c r="L146" s="138"/>
      <c r="P146" s="117"/>
      <c r="Q146" s="117"/>
      <c r="R146" s="117"/>
      <c r="S146" s="117"/>
      <c r="T146" s="117"/>
      <c r="U146" s="118"/>
      <c r="AA146" s="111"/>
      <c r="AB146" s="117"/>
      <c r="AC146" s="120"/>
    </row>
    <row r="147" spans="1:29" outlineLevel="1" x14ac:dyDescent="0.15">
      <c r="A147" s="128"/>
      <c r="B147" s="159"/>
      <c r="C147" s="138"/>
      <c r="D147" s="138"/>
      <c r="E147" s="138"/>
      <c r="F147" s="138"/>
      <c r="G147" s="138"/>
      <c r="H147" s="138"/>
      <c r="I147" s="138"/>
      <c r="J147" s="138"/>
      <c r="K147" s="138"/>
      <c r="L147" s="138"/>
      <c r="P147" s="117"/>
      <c r="Q147" s="117"/>
      <c r="R147" s="117"/>
      <c r="S147" s="117"/>
      <c r="T147" s="117"/>
      <c r="U147" s="118"/>
      <c r="AA147" s="111"/>
      <c r="AB147" s="117"/>
      <c r="AC147" s="120"/>
    </row>
    <row r="148" spans="1:29" outlineLevel="1" x14ac:dyDescent="0.15">
      <c r="P148" s="117"/>
      <c r="Q148" s="117"/>
      <c r="R148" s="117"/>
      <c r="S148" s="117"/>
      <c r="T148" s="117"/>
      <c r="U148" s="118"/>
      <c r="AA148" s="111"/>
      <c r="AB148" s="117"/>
      <c r="AC148" s="120"/>
    </row>
    <row r="149" spans="1:29" s="108" customFormat="1" outlineLevel="1" x14ac:dyDescent="0.15">
      <c r="A149" s="78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145"/>
      <c r="Q149" s="145"/>
      <c r="R149" s="145"/>
      <c r="S149" s="145"/>
      <c r="T149" s="145"/>
      <c r="U149" s="146"/>
      <c r="AA149" s="111"/>
      <c r="AB149" s="145"/>
      <c r="AC149" s="158"/>
    </row>
    <row r="150" spans="1:29" outlineLevel="1" x14ac:dyDescent="0.15">
      <c r="A150" s="181" t="s">
        <v>107</v>
      </c>
      <c r="B150" s="182"/>
      <c r="C150" s="138"/>
      <c r="D150" s="138"/>
      <c r="E150" s="138"/>
      <c r="F150" s="138"/>
      <c r="G150" s="138"/>
      <c r="H150" s="138"/>
      <c r="I150" s="117"/>
      <c r="J150" s="117"/>
      <c r="K150" s="117"/>
      <c r="L150" s="117"/>
      <c r="P150" s="117"/>
      <c r="Q150" s="117"/>
      <c r="R150" s="117"/>
      <c r="S150" s="117"/>
      <c r="T150" s="117"/>
      <c r="AA150" s="145"/>
      <c r="AB150" s="111"/>
      <c r="AC150" s="185"/>
    </row>
    <row r="151" spans="1:29" ht="15" outlineLevel="1" x14ac:dyDescent="0.15">
      <c r="A151" s="223" t="s">
        <v>275</v>
      </c>
      <c r="B151" s="262"/>
      <c r="C151" s="220">
        <v>48914.9</v>
      </c>
      <c r="D151" s="220">
        <v>51747.4</v>
      </c>
      <c r="E151" s="220">
        <v>50023.7</v>
      </c>
      <c r="F151" s="220">
        <v>51130.9</v>
      </c>
      <c r="G151" s="220">
        <v>53044</v>
      </c>
      <c r="H151" s="220">
        <v>50707.6</v>
      </c>
      <c r="I151" s="220">
        <v>55758.9</v>
      </c>
      <c r="J151" s="220">
        <v>52683.5</v>
      </c>
      <c r="K151" s="220">
        <v>52150.3</v>
      </c>
      <c r="L151" s="220">
        <v>43712.3</v>
      </c>
      <c r="M151" s="139">
        <f>L151+L115</f>
        <v>44966.600000000006</v>
      </c>
      <c r="N151" s="139">
        <f>M151+M115</f>
        <v>46487.001640464259</v>
      </c>
      <c r="O151" s="139">
        <f>N151+N115</f>
        <v>48505.249372746592</v>
      </c>
      <c r="P151" s="139">
        <f>O151+O115</f>
        <v>50503.74934901244</v>
      </c>
      <c r="Q151" s="139">
        <f>P151+P115</f>
        <v>52381.185349940468</v>
      </c>
      <c r="R151" s="117"/>
      <c r="S151" s="117"/>
      <c r="T151" s="117"/>
      <c r="AA151" s="117"/>
      <c r="AB151" s="111"/>
      <c r="AC151" s="185"/>
    </row>
    <row r="152" spans="1:29" outlineLevel="1" x14ac:dyDescent="0.15">
      <c r="A152" s="128" t="s">
        <v>74</v>
      </c>
      <c r="B152" s="159"/>
      <c r="C152" s="138"/>
      <c r="D152" s="138">
        <f t="shared" ref="D152:Q152" si="83">D151/C151-1</f>
        <v>5.7906691008261291E-2</v>
      </c>
      <c r="E152" s="138">
        <f t="shared" si="83"/>
        <v>-3.330988610055774E-2</v>
      </c>
      <c r="F152" s="138">
        <f t="shared" si="83"/>
        <v>2.2133508716868366E-2</v>
      </c>
      <c r="G152" s="138">
        <f t="shared" si="83"/>
        <v>3.7415730996325003E-2</v>
      </c>
      <c r="H152" s="138">
        <f t="shared" si="83"/>
        <v>-4.4046452002111436E-2</v>
      </c>
      <c r="I152" s="138">
        <f t="shared" si="83"/>
        <v>9.9616231097508168E-2</v>
      </c>
      <c r="J152" s="138">
        <f t="shared" si="83"/>
        <v>-5.5155320495920868E-2</v>
      </c>
      <c r="K152" s="138">
        <f t="shared" si="83"/>
        <v>-1.0120815815198303E-2</v>
      </c>
      <c r="L152" s="138">
        <f t="shared" si="83"/>
        <v>-0.16180156202361251</v>
      </c>
      <c r="M152" s="138">
        <f t="shared" si="83"/>
        <v>2.86944406951819E-2</v>
      </c>
      <c r="N152" s="138">
        <f t="shared" si="83"/>
        <v>3.3811798990011521E-2</v>
      </c>
      <c r="O152" s="138">
        <f t="shared" si="83"/>
        <v>4.3415313121110577E-2</v>
      </c>
      <c r="P152" s="138">
        <f t="shared" si="83"/>
        <v>4.120172562990132E-2</v>
      </c>
      <c r="Q152" s="138">
        <f t="shared" si="83"/>
        <v>3.717419053293991E-2</v>
      </c>
      <c r="R152" s="111"/>
      <c r="S152" s="111"/>
      <c r="T152" s="111"/>
      <c r="AA152" s="145"/>
    </row>
    <row r="153" spans="1:29" ht="15" outlineLevel="1" x14ac:dyDescent="0.15">
      <c r="A153" s="223" t="s">
        <v>276</v>
      </c>
      <c r="B153" s="262"/>
      <c r="C153" s="220">
        <v>94.1</v>
      </c>
      <c r="D153" s="220">
        <v>102.5</v>
      </c>
      <c r="E153" s="220">
        <v>112.9</v>
      </c>
      <c r="F153" s="220">
        <v>100.4</v>
      </c>
      <c r="G153" s="220">
        <v>77.400000000000006</v>
      </c>
      <c r="H153" s="220">
        <v>94</v>
      </c>
      <c r="I153" s="220">
        <v>84.1</v>
      </c>
      <c r="J153" s="220">
        <v>197</v>
      </c>
      <c r="K153" s="220">
        <v>75</v>
      </c>
      <c r="L153" s="220">
        <v>119.2</v>
      </c>
      <c r="M153" s="139">
        <v>120</v>
      </c>
      <c r="N153" s="139">
        <f>M153</f>
        <v>120</v>
      </c>
      <c r="O153" s="139">
        <f t="shared" ref="O153:Q153" si="84">N153</f>
        <v>120</v>
      </c>
      <c r="P153" s="139">
        <f t="shared" si="84"/>
        <v>120</v>
      </c>
      <c r="Q153" s="139">
        <f t="shared" si="84"/>
        <v>120</v>
      </c>
      <c r="R153" s="117"/>
      <c r="S153" s="117"/>
      <c r="T153" s="117"/>
      <c r="AA153" s="145"/>
      <c r="AB153" s="111"/>
      <c r="AC153" s="185"/>
    </row>
    <row r="154" spans="1:29" outlineLevel="1" x14ac:dyDescent="0.15">
      <c r="A154" s="223"/>
      <c r="B154" s="262"/>
      <c r="C154" s="220"/>
      <c r="D154" s="220"/>
      <c r="E154" s="220"/>
      <c r="F154" s="220"/>
      <c r="G154" s="220"/>
      <c r="H154" s="220"/>
      <c r="I154" s="220"/>
      <c r="J154" s="220"/>
      <c r="K154" s="220"/>
      <c r="L154" s="220"/>
      <c r="P154" s="117"/>
      <c r="Q154" s="117"/>
      <c r="R154" s="117"/>
      <c r="S154" s="117"/>
      <c r="T154" s="117"/>
      <c r="AA154" s="145"/>
      <c r="AB154" s="111"/>
      <c r="AC154" s="185"/>
    </row>
    <row r="155" spans="1:29" ht="15" outlineLevel="1" x14ac:dyDescent="0.15">
      <c r="A155" s="223" t="s">
        <v>281</v>
      </c>
      <c r="B155" s="262"/>
      <c r="C155" s="220">
        <v>1647.8</v>
      </c>
      <c r="D155" s="220">
        <v>1634.7</v>
      </c>
      <c r="E155" s="220">
        <v>1598.4</v>
      </c>
      <c r="F155" s="220">
        <v>1610.8</v>
      </c>
      <c r="G155" s="220">
        <v>1665.7</v>
      </c>
      <c r="H155" s="220">
        <v>1615.5</v>
      </c>
      <c r="I155" s="220">
        <v>1602.9</v>
      </c>
      <c r="J155" s="220">
        <v>1519.3</v>
      </c>
      <c r="K155" s="220">
        <v>1519.9</v>
      </c>
      <c r="L155" s="220">
        <v>1482.1</v>
      </c>
      <c r="M155" s="139">
        <f>M156*M11</f>
        <v>1660.2274960514005</v>
      </c>
      <c r="N155" s="139">
        <f>N156*N11</f>
        <v>2082.2030352000002</v>
      </c>
      <c r="O155" s="139">
        <f>O156*O11</f>
        <v>1961.2129966476098</v>
      </c>
      <c r="P155" s="139">
        <f>P156*P11</f>
        <v>1984.9330866860864</v>
      </c>
      <c r="Q155" s="139">
        <f>Q156*Q11</f>
        <v>2000.1473087209292</v>
      </c>
      <c r="R155" s="117"/>
      <c r="S155" s="117"/>
      <c r="T155" s="117"/>
      <c r="AA155" s="145"/>
      <c r="AB155" s="111"/>
      <c r="AC155" s="185"/>
    </row>
    <row r="156" spans="1:29" ht="15" outlineLevel="1" x14ac:dyDescent="0.15">
      <c r="A156" s="497" t="s">
        <v>529</v>
      </c>
      <c r="B156" s="262"/>
      <c r="C156" s="301">
        <f t="shared" ref="C156:L156" si="85">C155/C11</f>
        <v>0.21611342085590252</v>
      </c>
      <c r="D156" s="301">
        <f t="shared" si="85"/>
        <v>0.20965218283486381</v>
      </c>
      <c r="E156" s="301">
        <f t="shared" si="85"/>
        <v>0.19776304068098585</v>
      </c>
      <c r="F156" s="301">
        <f t="shared" si="85"/>
        <v>0.19273245031527811</v>
      </c>
      <c r="G156" s="301">
        <f t="shared" si="85"/>
        <v>0.19375138127973385</v>
      </c>
      <c r="H156" s="301">
        <f t="shared" si="85"/>
        <v>0.17977765660297571</v>
      </c>
      <c r="I156" s="301">
        <f t="shared" si="85"/>
        <v>0.17114760399760828</v>
      </c>
      <c r="J156" s="301">
        <f t="shared" si="85"/>
        <v>0.16200509698126486</v>
      </c>
      <c r="K156" s="301">
        <f t="shared" si="85"/>
        <v>0.16031009387195444</v>
      </c>
      <c r="L156" s="301">
        <f t="shared" si="85"/>
        <v>0.15401001724962071</v>
      </c>
      <c r="M156" s="299">
        <f>AVERAGE(H156:L156)</f>
        <v>0.16545009374068481</v>
      </c>
      <c r="N156" s="299">
        <v>0.18</v>
      </c>
      <c r="O156" s="299">
        <f t="shared" ref="O156:Q156" si="86">AVERAGE(J156:N156)</f>
        <v>0.16435506036870495</v>
      </c>
      <c r="P156" s="299">
        <f t="shared" si="86"/>
        <v>0.16482505304619299</v>
      </c>
      <c r="Q156" s="299">
        <f t="shared" si="86"/>
        <v>0.1657280448810407</v>
      </c>
      <c r="R156" s="117"/>
      <c r="S156" s="117"/>
      <c r="T156" s="117"/>
      <c r="AA156" s="145"/>
      <c r="AB156" s="111"/>
      <c r="AC156" s="185"/>
    </row>
    <row r="157" spans="1:29" outlineLevel="1" x14ac:dyDescent="0.15">
      <c r="A157" s="223"/>
      <c r="B157" s="262"/>
      <c r="C157" s="220"/>
      <c r="D157" s="220"/>
      <c r="E157" s="220"/>
      <c r="F157" s="220"/>
      <c r="G157" s="220"/>
      <c r="H157" s="220"/>
      <c r="I157" s="220"/>
      <c r="J157" s="220"/>
      <c r="K157" s="220"/>
      <c r="L157" s="220"/>
      <c r="P157" s="117"/>
      <c r="Q157" s="117"/>
      <c r="R157" s="117"/>
      <c r="S157" s="117"/>
      <c r="T157" s="117"/>
      <c r="AA157" s="145"/>
      <c r="AB157" s="111"/>
      <c r="AC157" s="185"/>
    </row>
    <row r="158" spans="1:29" ht="15" outlineLevel="1" x14ac:dyDescent="0.15">
      <c r="A158" s="223" t="s">
        <v>277</v>
      </c>
      <c r="B158" s="262"/>
      <c r="C158" s="220">
        <v>4806.5</v>
      </c>
      <c r="D158" s="220">
        <v>4906.3999999999996</v>
      </c>
      <c r="E158" s="220">
        <v>4725.1000000000004</v>
      </c>
      <c r="F158" s="220">
        <v>4858.8999999999996</v>
      </c>
      <c r="G158" s="220">
        <v>4879.2</v>
      </c>
      <c r="H158" s="220">
        <v>4662.3999999999996</v>
      </c>
      <c r="I158" s="220">
        <v>4780.7</v>
      </c>
      <c r="J158" s="220">
        <v>10666</v>
      </c>
      <c r="K158" s="220">
        <v>10919.3</v>
      </c>
      <c r="L158" s="220">
        <v>9608</v>
      </c>
      <c r="M158" s="139">
        <f>M159*M11</f>
        <v>10034.611999999999</v>
      </c>
      <c r="N158" s="139">
        <f>N159*N11</f>
        <v>11100.194021752874</v>
      </c>
      <c r="O158" s="139">
        <f>O159*O11</f>
        <v>11336.142268059999</v>
      </c>
      <c r="P158" s="139">
        <f>P159*P11</f>
        <v>11320.106179259119</v>
      </c>
      <c r="Q158" s="139">
        <f>Q159*Q11</f>
        <v>11344.721236211008</v>
      </c>
      <c r="R158" s="117"/>
      <c r="S158" s="117"/>
      <c r="T158" s="117"/>
      <c r="AA158" s="111"/>
      <c r="AB158" s="111"/>
      <c r="AC158" s="185"/>
    </row>
    <row r="159" spans="1:29" ht="15" outlineLevel="1" x14ac:dyDescent="0.15">
      <c r="A159" s="497" t="s">
        <v>529</v>
      </c>
      <c r="B159" s="262"/>
      <c r="C159" s="301">
        <f t="shared" ref="C159:L159" si="87">C158/C11</f>
        <v>0.63038545778850319</v>
      </c>
      <c r="D159" s="301">
        <f t="shared" si="87"/>
        <v>0.62925152618888824</v>
      </c>
      <c r="E159" s="301">
        <f t="shared" si="87"/>
        <v>0.58461595565673574</v>
      </c>
      <c r="F159" s="301">
        <f t="shared" si="87"/>
        <v>0.58136807973485516</v>
      </c>
      <c r="G159" s="301">
        <f t="shared" si="87"/>
        <v>0.5675402170499354</v>
      </c>
      <c r="H159" s="301">
        <f t="shared" si="87"/>
        <v>0.51884577291594791</v>
      </c>
      <c r="I159" s="301">
        <f t="shared" si="87"/>
        <v>0.51045314768941652</v>
      </c>
      <c r="J159" s="301">
        <f t="shared" si="87"/>
        <v>1.1373305893517875</v>
      </c>
      <c r="K159" s="301">
        <f t="shared" si="87"/>
        <v>1.1517034068136272</v>
      </c>
      <c r="L159" s="301">
        <f t="shared" si="87"/>
        <v>0.99839973398175286</v>
      </c>
      <c r="M159" s="299">
        <v>1</v>
      </c>
      <c r="N159" s="299">
        <f t="shared" ref="N159" si="88">AVERAGE(I159:M159)</f>
        <v>0.95957737556731681</v>
      </c>
      <c r="O159" s="299">
        <v>0.95</v>
      </c>
      <c r="P159" s="299">
        <v>0.94</v>
      </c>
      <c r="Q159" s="299">
        <v>0.94</v>
      </c>
      <c r="R159" s="117"/>
      <c r="S159" s="117"/>
      <c r="T159" s="117"/>
      <c r="AA159" s="111"/>
      <c r="AB159" s="111"/>
      <c r="AC159" s="185"/>
    </row>
    <row r="160" spans="1:29" outlineLevel="1" x14ac:dyDescent="0.15">
      <c r="A160" s="223"/>
      <c r="B160" s="262"/>
      <c r="C160" s="220"/>
      <c r="D160" s="220"/>
      <c r="E160" s="220"/>
      <c r="F160" s="220"/>
      <c r="G160" s="220"/>
      <c r="H160" s="220"/>
      <c r="I160" s="220"/>
      <c r="J160" s="220"/>
      <c r="K160" s="220"/>
      <c r="L160" s="220"/>
      <c r="P160" s="117"/>
      <c r="Q160" s="117"/>
      <c r="R160" s="117"/>
      <c r="S160" s="117"/>
      <c r="T160" s="117"/>
      <c r="AA160" s="111"/>
      <c r="AB160" s="111"/>
      <c r="AC160" s="185"/>
    </row>
    <row r="161" spans="1:46" ht="15" outlineLevel="1" x14ac:dyDescent="0.15">
      <c r="A161" s="223" t="s">
        <v>278</v>
      </c>
      <c r="B161" s="262"/>
      <c r="C161" s="220">
        <v>700.2</v>
      </c>
      <c r="D161" s="220">
        <v>696.1</v>
      </c>
      <c r="E161" s="220">
        <v>702.8</v>
      </c>
      <c r="F161" s="220">
        <v>693.3</v>
      </c>
      <c r="G161" s="220">
        <v>690.1</v>
      </c>
      <c r="H161" s="220">
        <v>690.6</v>
      </c>
      <c r="I161" s="220">
        <v>693</v>
      </c>
      <c r="J161" s="220">
        <v>611.4</v>
      </c>
      <c r="K161" s="220">
        <v>602.70000000000005</v>
      </c>
      <c r="L161" s="220">
        <v>615</v>
      </c>
      <c r="M161" s="139">
        <f>M22</f>
        <v>2166.9448393244011</v>
      </c>
      <c r="N161" s="139">
        <f>N22</f>
        <v>2231.3760787422843</v>
      </c>
      <c r="O161" s="139">
        <f>O22</f>
        <v>2328.2519698918363</v>
      </c>
      <c r="P161" s="139">
        <f>P22</f>
        <v>2424.1799687525972</v>
      </c>
      <c r="Q161" s="139">
        <f>Q22</f>
        <v>2514.2968967971424</v>
      </c>
      <c r="R161" s="117"/>
      <c r="S161" s="117"/>
      <c r="T161" s="117"/>
      <c r="V161" s="119" t="s">
        <v>78</v>
      </c>
      <c r="W161" s="119" t="s">
        <v>112</v>
      </c>
      <c r="X161" s="117" t="str" cm="1">
        <f t="array" ref="X161">_xll.FDSC("--",$A$1,""&amp;$V161&amp;"("&amp;$W161&amp;","&amp;D$2&amp;",ANNUAL_ROLL,+1,0,,,'CURRENCY="&amp;$E$1&amp;"')")</f>
        <v>--</v>
      </c>
      <c r="Y161" s="117" t="str" cm="1">
        <f t="array" ref="Y161">_xll.FDSC("--",$A$1,""&amp;$V161&amp;"("&amp;$W161&amp;","&amp;D$2&amp;",ANNUAL_ROLL,+2,0,,,'CURRENCY="&amp;$E$1&amp;"')")</f>
        <v>--</v>
      </c>
      <c r="Z161" s="117" t="str" cm="1">
        <f t="array" ref="Z161">_xll.FDSC("--",$A$1,""&amp;$V161&amp;"("&amp;$W161&amp;","&amp;D$2&amp;",ANNUAL_ROLL,+3,0,,,'CURRENCY="&amp;$E$1&amp;"')")</f>
        <v>--</v>
      </c>
      <c r="AA161" s="117"/>
      <c r="AB161" s="111"/>
      <c r="AC161" s="185"/>
    </row>
    <row r="162" spans="1:46" ht="15" outlineLevel="1" x14ac:dyDescent="0.15">
      <c r="A162" s="497" t="s">
        <v>530</v>
      </c>
      <c r="B162" s="262"/>
      <c r="C162" s="301">
        <f t="shared" ref="C162:L162" si="89">C161/C22</f>
        <v>0.27846490355935577</v>
      </c>
      <c r="D162" s="301">
        <f t="shared" si="89"/>
        <v>0.27603299230708228</v>
      </c>
      <c r="E162" s="301">
        <f t="shared" si="89"/>
        <v>0.28455745404486193</v>
      </c>
      <c r="F162" s="301">
        <f t="shared" si="89"/>
        <v>0.27580856904165174</v>
      </c>
      <c r="G162" s="301">
        <f t="shared" si="89"/>
        <v>0.27602895884164635</v>
      </c>
      <c r="H162" s="301">
        <f t="shared" si="89"/>
        <v>0.28399884854217217</v>
      </c>
      <c r="I162" s="301">
        <f t="shared" si="89"/>
        <v>0.28431935669155656</v>
      </c>
      <c r="J162" s="301">
        <f t="shared" si="89"/>
        <v>0.17175122197876286</v>
      </c>
      <c r="K162" s="301">
        <f t="shared" si="89"/>
        <v>0.26319926634350849</v>
      </c>
      <c r="L162" s="301">
        <f t="shared" si="89"/>
        <v>0.29195347733206739</v>
      </c>
      <c r="M162" s="299">
        <f>AVERAGE(H162:L162)</f>
        <v>0.25904443417761353</v>
      </c>
      <c r="N162" s="299">
        <v>0.26</v>
      </c>
      <c r="O162" s="299">
        <f>N162</f>
        <v>0.26</v>
      </c>
      <c r="P162" s="299">
        <f t="shared" ref="P162:Q162" si="90">AVERAGE(L162:O162)</f>
        <v>0.26774947787742021</v>
      </c>
      <c r="Q162" s="299">
        <f t="shared" si="90"/>
        <v>0.26169847801375845</v>
      </c>
      <c r="R162" s="117"/>
      <c r="S162" s="117"/>
      <c r="T162" s="117"/>
      <c r="V162" s="119"/>
      <c r="W162" s="119"/>
      <c r="X162" s="117"/>
      <c r="Y162" s="117"/>
      <c r="Z162" s="117"/>
      <c r="AA162" s="117"/>
      <c r="AB162" s="111"/>
      <c r="AC162" s="185"/>
    </row>
    <row r="163" spans="1:46" outlineLevel="1" x14ac:dyDescent="0.15">
      <c r="A163" s="223"/>
      <c r="B163" s="262"/>
      <c r="C163" s="220"/>
      <c r="D163" s="220"/>
      <c r="E163" s="220"/>
      <c r="F163" s="220"/>
      <c r="G163" s="220"/>
      <c r="H163" s="220"/>
      <c r="I163" s="220"/>
      <c r="J163" s="220"/>
      <c r="K163" s="220"/>
      <c r="L163" s="220"/>
      <c r="P163" s="117"/>
      <c r="Q163" s="117"/>
      <c r="R163" s="117"/>
      <c r="S163" s="117"/>
      <c r="T163" s="117"/>
      <c r="W163" s="77"/>
      <c r="X163" s="111"/>
      <c r="Y163" s="111"/>
      <c r="Z163" s="111"/>
      <c r="AA163" s="117"/>
      <c r="AB163" s="111"/>
      <c r="AC163" s="185"/>
    </row>
    <row r="164" spans="1:46" ht="15" outlineLevel="1" x14ac:dyDescent="0.15">
      <c r="A164" s="223" t="s">
        <v>279</v>
      </c>
      <c r="B164" s="262"/>
      <c r="C164" s="220">
        <v>1829.2</v>
      </c>
      <c r="D164" s="220">
        <v>1901.3</v>
      </c>
      <c r="E164" s="220">
        <v>2008.5</v>
      </c>
      <c r="F164" s="220">
        <v>2094.1999999999998</v>
      </c>
      <c r="G164" s="220">
        <v>2184.6</v>
      </c>
      <c r="H164" s="220">
        <v>2309.4</v>
      </c>
      <c r="I164" s="220">
        <v>2324</v>
      </c>
      <c r="J164" s="220">
        <v>2272.6</v>
      </c>
      <c r="K164" s="220">
        <v>2207.9</v>
      </c>
      <c r="L164" s="220">
        <v>2560</v>
      </c>
      <c r="M164" s="139">
        <f>M165*M11</f>
        <v>2501.3560644478584</v>
      </c>
      <c r="N164" s="139">
        <f>N165*N11</f>
        <v>2865.666682934354</v>
      </c>
      <c r="O164" s="139">
        <f>O165*O11</f>
        <v>2955.0957576282053</v>
      </c>
      <c r="P164" s="139">
        <f>P165*P11</f>
        <v>2995.1086935495587</v>
      </c>
      <c r="Q164" s="139">
        <f>Q165*Q11</f>
        <v>3039.8358192535511</v>
      </c>
      <c r="R164" s="117"/>
      <c r="S164" s="117"/>
      <c r="T164" s="117"/>
      <c r="W164" s="77"/>
      <c r="X164" s="111"/>
      <c r="Y164" s="111"/>
      <c r="Z164" s="111"/>
      <c r="AA164" s="117"/>
      <c r="AB164" s="111"/>
      <c r="AC164" s="185"/>
    </row>
    <row r="165" spans="1:46" ht="15" outlineLevel="1" x14ac:dyDescent="0.15">
      <c r="A165" s="497" t="s">
        <v>529</v>
      </c>
      <c r="B165" s="262"/>
      <c r="C165" s="301">
        <f t="shared" ref="C165:L165" si="91">C164/C11</f>
        <v>0.23990452083360658</v>
      </c>
      <c r="D165" s="301">
        <f t="shared" si="91"/>
        <v>0.2438439439798902</v>
      </c>
      <c r="E165" s="301">
        <f t="shared" si="91"/>
        <v>0.24850291992477483</v>
      </c>
      <c r="F165" s="301">
        <f t="shared" si="91"/>
        <v>0.25057132943273863</v>
      </c>
      <c r="G165" s="301">
        <f t="shared" si="91"/>
        <v>0.25410894371357784</v>
      </c>
      <c r="H165" s="301">
        <f t="shared" si="91"/>
        <v>0.25699691746141262</v>
      </c>
      <c r="I165" s="301">
        <f t="shared" si="91"/>
        <v>0.24814213718288203</v>
      </c>
      <c r="J165" s="301">
        <f t="shared" si="91"/>
        <v>0.24233053603608404</v>
      </c>
      <c r="K165" s="301">
        <f t="shared" si="91"/>
        <v>0.23287627887353657</v>
      </c>
      <c r="L165" s="301">
        <f t="shared" si="91"/>
        <v>0.26601824718914313</v>
      </c>
      <c r="M165" s="299">
        <f>AVERAGE(H165:L165)</f>
        <v>0.24927282334861167</v>
      </c>
      <c r="N165" s="299">
        <f t="shared" ref="N165:Q165" si="92">AVERAGE(I165:M165)</f>
        <v>0.24772800452605148</v>
      </c>
      <c r="O165" s="299">
        <f t="shared" si="92"/>
        <v>0.24764517799468538</v>
      </c>
      <c r="P165" s="299">
        <f t="shared" si="92"/>
        <v>0.24870810638640567</v>
      </c>
      <c r="Q165" s="299">
        <f t="shared" si="92"/>
        <v>0.25187447188897949</v>
      </c>
      <c r="R165" s="117"/>
      <c r="S165" s="117"/>
      <c r="T165" s="117"/>
      <c r="V165" s="188"/>
      <c r="W165" s="188"/>
      <c r="X165" s="189"/>
      <c r="Y165" s="189"/>
      <c r="Z165" s="189"/>
      <c r="AA165" s="111"/>
      <c r="AB165" s="111"/>
      <c r="AC165" s="185"/>
    </row>
    <row r="166" spans="1:46" outlineLevel="1" x14ac:dyDescent="0.15">
      <c r="A166" s="223"/>
      <c r="B166" s="262"/>
      <c r="C166" s="220"/>
      <c r="D166" s="220"/>
      <c r="E166" s="220"/>
      <c r="F166" s="220"/>
      <c r="G166" s="220"/>
      <c r="H166" s="220"/>
      <c r="I166" s="220"/>
      <c r="J166" s="220"/>
      <c r="K166" s="220"/>
      <c r="L166" s="220"/>
      <c r="M166" s="139"/>
      <c r="N166" s="139"/>
      <c r="O166" s="139"/>
      <c r="P166" s="139"/>
      <c r="Q166" s="139"/>
      <c r="R166" s="117"/>
      <c r="S166" s="117"/>
      <c r="T166" s="117"/>
      <c r="V166" s="119"/>
      <c r="W166" s="119"/>
      <c r="X166" s="117"/>
      <c r="Y166" s="117"/>
      <c r="Z166" s="117"/>
      <c r="AA166" s="117"/>
      <c r="AB166" s="111"/>
      <c r="AC166" s="185"/>
    </row>
    <row r="167" spans="1:46" outlineLevel="1" x14ac:dyDescent="0.15">
      <c r="A167" s="263" t="s">
        <v>114</v>
      </c>
      <c r="B167" s="140">
        <f>CHOOSE(IF($B$1=2,2,1),'GAAP-IFRS'!E33,IF('Broker Actual'!E33="-",'GAAP-IFRS'!E33,'Broker Actual'!E33))</f>
        <v>501.6</v>
      </c>
      <c r="C167" s="140">
        <f>CHOOSE(IF($B$1=2,2,1),'GAAP-IFRS'!F33,IF('Broker Actual'!F33="-",'GAAP-IFRS'!F33,'Broker Actual'!F33))</f>
        <v>511.9</v>
      </c>
      <c r="D167" s="140">
        <f>CHOOSE(IF($B$1=2,2,1),'GAAP-IFRS'!G33,IF('Broker Actual'!G33="-",'GAAP-IFRS'!G33,'Broker Actual'!G33))</f>
        <v>531.70000000000005</v>
      </c>
      <c r="E167" s="140">
        <f>CHOOSE(IF($B$1=2,2,1),'GAAP-IFRS'!H33,IF('Broker Actual'!H33="-",'GAAP-IFRS'!H33,'Broker Actual'!H33))</f>
        <v>523.9</v>
      </c>
      <c r="F167" s="140">
        <f>CHOOSE(IF($B$1=2,2,1),'GAAP-IFRS'!I33,IF('Broker Actual'!I33="-",'GAAP-IFRS'!I33,'Broker Actual'!I33))</f>
        <v>500.6</v>
      </c>
      <c r="G167" s="140">
        <f>CHOOSE(IF($B$1=2,2,1),'GAAP-IFRS'!J33,IF('Broker Actual'!J33="-",'GAAP-IFRS'!J33,'Broker Actual'!J33))</f>
        <v>504.8</v>
      </c>
      <c r="H167" s="140">
        <f>CHOOSE(IF($B$1=2,2,1),'GAAP-IFRS'!K33,IF('Broker Actual'!K33="-",'GAAP-IFRS'!K33,'Broker Actual'!K33))</f>
        <v>546.9</v>
      </c>
      <c r="I167" s="140">
        <f>CHOOSE(IF($B$1=2,2,1),'GAAP-IFRS'!L33,IF('Broker Actual'!L33="-",'GAAP-IFRS'!L33,'Broker Actual'!L33))</f>
        <v>642.70000000000005</v>
      </c>
      <c r="J167" s="140">
        <f>CHOOSE(IF($B$1=2,2,1),'GAAP-IFRS'!M33,IF('Broker Actual'!M33="-",'GAAP-IFRS'!M33,'Broker Actual'!M33))</f>
        <v>580.9</v>
      </c>
      <c r="K167" s="140">
        <f>CHOOSE(IF($B$1=2,2,1),'GAAP-IFRS'!N33,IF('Broker Actual'!N33="-",'GAAP-IFRS'!N33,'Broker Actual'!N33))</f>
        <v>511.8</v>
      </c>
      <c r="L167" s="140">
        <f>CHOOSE(IF($B$1=2,2,1),'GAAP-IFRS'!O33,IF('Broker Actual'!O33="-",'GAAP-IFRS'!O33,'Broker Actual'!O33))</f>
        <v>489.4</v>
      </c>
      <c r="M167" s="434">
        <f>AVERAGE(H167:L167)</f>
        <v>554.34</v>
      </c>
      <c r="N167" s="434">
        <f t="shared" ref="N167:Q168" si="93">AVERAGE(I167:M167)</f>
        <v>555.82799999999997</v>
      </c>
      <c r="O167" s="434">
        <f t="shared" si="93"/>
        <v>538.45360000000005</v>
      </c>
      <c r="P167" s="434">
        <f t="shared" si="93"/>
        <v>529.96432000000004</v>
      </c>
      <c r="Q167" s="434">
        <f t="shared" si="93"/>
        <v>533.59718399999997</v>
      </c>
      <c r="R167" s="117"/>
      <c r="S167" s="117"/>
      <c r="T167" s="117"/>
      <c r="U167" s="118"/>
      <c r="V167" s="119"/>
      <c r="W167" s="119"/>
      <c r="X167" s="117"/>
      <c r="Y167" s="117"/>
      <c r="Z167" s="117"/>
      <c r="AB167" s="117"/>
      <c r="AC167" s="120"/>
    </row>
    <row r="168" spans="1:46" outlineLevel="1" x14ac:dyDescent="0.15">
      <c r="A168" s="263" t="s">
        <v>282</v>
      </c>
      <c r="B168" s="140"/>
      <c r="C168" s="140">
        <f>CHOOSE(IF($B$1=2,2,1),'GAAP-IFRS'!F34,IF('Broker Actual'!F34="-",'GAAP-IFRS'!F34,'Broker Actual'!F34))</f>
        <v>200.9</v>
      </c>
      <c r="D168" s="140">
        <f>CHOOSE(IF($B$1=2,2,1),'GAAP-IFRS'!G34,IF('Broker Actual'!G34="-",'GAAP-IFRS'!G34,'Broker Actual'!G34))</f>
        <v>198.7</v>
      </c>
      <c r="E168" s="140">
        <f>CHOOSE(IF($B$1=2,2,1),'GAAP-IFRS'!H34,IF('Broker Actual'!H34="-",'GAAP-IFRS'!H34,'Broker Actual'!H34))</f>
        <v>230.9</v>
      </c>
      <c r="F168" s="140">
        <f>CHOOSE(IF($B$1=2,2,1),'GAAP-IFRS'!I34,IF('Broker Actual'!I34="-",'GAAP-IFRS'!I34,'Broker Actual'!I34))</f>
        <v>335.1</v>
      </c>
      <c r="G168" s="140">
        <f>CHOOSE(IF($B$1=2,2,1),'GAAP-IFRS'!J34,IF('Broker Actual'!J34="-",'GAAP-IFRS'!J34,'Broker Actual'!J34))</f>
        <v>338.6</v>
      </c>
      <c r="H168" s="140">
        <f>CHOOSE(IF($B$1=2,2,1),'GAAP-IFRS'!K34,IF('Broker Actual'!K34="-",'GAAP-IFRS'!K34,'Broker Actual'!K34))</f>
        <v>350.3</v>
      </c>
      <c r="I168" s="140">
        <f>CHOOSE(IF($B$1=2,2,1),'GAAP-IFRS'!L34,IF('Broker Actual'!L34="-",'GAAP-IFRS'!L34,'Broker Actual'!L34))</f>
        <v>351.7</v>
      </c>
      <c r="J168" s="140">
        <f>CHOOSE(IF($B$1=2,2,1),'GAAP-IFRS'!M34,IF('Broker Actual'!M34="-",'GAAP-IFRS'!M34,'Broker Actual'!M34))</f>
        <v>353</v>
      </c>
      <c r="K168" s="140">
        <f>CHOOSE(IF($B$1=2,2,1),'GAAP-IFRS'!N34,IF('Broker Actual'!N34="-",'GAAP-IFRS'!N34,'Broker Actual'!N34))</f>
        <v>352.2</v>
      </c>
      <c r="L168" s="140">
        <f>CHOOSE(IF($B$1=2,2,1),'GAAP-IFRS'!O34,IF('Broker Actual'!O34="-",'GAAP-IFRS'!O34,'Broker Actual'!O34))</f>
        <v>347.6</v>
      </c>
      <c r="M168" s="434">
        <f>AVERAGE(H168:L168)</f>
        <v>350.96000000000004</v>
      </c>
      <c r="N168" s="434">
        <f t="shared" si="93"/>
        <v>351.09199999999998</v>
      </c>
      <c r="O168" s="434">
        <f t="shared" si="93"/>
        <v>350.97040000000004</v>
      </c>
      <c r="P168" s="434">
        <f t="shared" si="93"/>
        <v>350.56448</v>
      </c>
      <c r="Q168" s="434">
        <f t="shared" si="93"/>
        <v>350.23737600000004</v>
      </c>
      <c r="R168" s="117"/>
      <c r="S168" s="117"/>
      <c r="T168" s="117"/>
      <c r="U168" s="118"/>
      <c r="V168" s="169"/>
      <c r="W168" s="169"/>
      <c r="X168" s="159"/>
      <c r="Y168" s="159"/>
      <c r="Z168" s="159"/>
      <c r="AA168" s="117"/>
      <c r="AB168" s="117"/>
      <c r="AC168" s="120"/>
    </row>
    <row r="169" spans="1:46" ht="15" outlineLevel="1" x14ac:dyDescent="0.15">
      <c r="A169" s="223" t="s">
        <v>280</v>
      </c>
      <c r="B169" s="262"/>
      <c r="C169" s="220">
        <v>698.09999999999991</v>
      </c>
      <c r="D169" s="220">
        <v>731.4</v>
      </c>
      <c r="E169" s="220">
        <v>637.4</v>
      </c>
      <c r="F169" s="220">
        <v>617.29999999999995</v>
      </c>
      <c r="G169" s="220">
        <v>628.70000000000005</v>
      </c>
      <c r="H169" s="220">
        <v>898.9</v>
      </c>
      <c r="I169" s="220">
        <v>884</v>
      </c>
      <c r="J169" s="220">
        <v>1825</v>
      </c>
      <c r="K169" s="220">
        <v>1825.6</v>
      </c>
      <c r="L169" s="220">
        <v>2252.6</v>
      </c>
      <c r="M169" s="434">
        <v>2442.52</v>
      </c>
      <c r="N169" s="434">
        <v>2571.8040000000001</v>
      </c>
      <c r="O169" s="434">
        <v>2710.4848000000002</v>
      </c>
      <c r="P169" s="434">
        <v>2700.8017599999998</v>
      </c>
      <c r="Q169" s="434">
        <v>2703.0421120000001</v>
      </c>
      <c r="R169" s="117"/>
      <c r="S169" s="117"/>
      <c r="T169" s="117"/>
      <c r="AA169" s="145"/>
      <c r="AB169" s="111"/>
      <c r="AC169" s="185"/>
    </row>
    <row r="170" spans="1:46" outlineLevel="1" x14ac:dyDescent="0.15">
      <c r="A170" s="128" t="s">
        <v>74</v>
      </c>
      <c r="B170" s="159"/>
      <c r="C170" s="138"/>
      <c r="D170" s="138">
        <f t="shared" ref="D170:Q170" si="94">D169/C169-1</f>
        <v>4.7700902449505866E-2</v>
      </c>
      <c r="E170" s="138">
        <f t="shared" si="94"/>
        <v>-0.12852064533770846</v>
      </c>
      <c r="F170" s="138">
        <f t="shared" si="94"/>
        <v>-3.1534358330718604E-2</v>
      </c>
      <c r="G170" s="138">
        <f t="shared" si="94"/>
        <v>1.8467519844484137E-2</v>
      </c>
      <c r="H170" s="138">
        <f t="shared" si="94"/>
        <v>0.42977572769206285</v>
      </c>
      <c r="I170" s="138">
        <f t="shared" si="94"/>
        <v>-1.6575814884859263E-2</v>
      </c>
      <c r="J170" s="138">
        <f t="shared" si="94"/>
        <v>1.06447963800905</v>
      </c>
      <c r="K170" s="138">
        <f t="shared" si="94"/>
        <v>3.2876712328766544E-4</v>
      </c>
      <c r="L170" s="138">
        <f t="shared" si="94"/>
        <v>0.23389570552147232</v>
      </c>
      <c r="M170" s="138">
        <f t="shared" si="94"/>
        <v>8.4311462310219243E-2</v>
      </c>
      <c r="N170" s="138">
        <f t="shared" si="94"/>
        <v>5.2930579892897622E-2</v>
      </c>
      <c r="O170" s="138">
        <f t="shared" si="94"/>
        <v>5.3923549384012226E-2</v>
      </c>
      <c r="P170" s="138">
        <f t="shared" si="94"/>
        <v>-3.5724384065907167E-3</v>
      </c>
      <c r="Q170" s="138">
        <f t="shared" si="94"/>
        <v>8.2951367744965587E-4</v>
      </c>
      <c r="R170" s="111"/>
      <c r="S170" s="111"/>
      <c r="T170" s="111"/>
      <c r="AA170" s="145"/>
    </row>
    <row r="171" spans="1:46" outlineLevel="1" x14ac:dyDescent="0.15">
      <c r="A171" s="218"/>
      <c r="B171" s="182"/>
      <c r="C171" s="219"/>
      <c r="D171" s="219"/>
      <c r="E171" s="219"/>
      <c r="F171" s="219"/>
      <c r="G171" s="219"/>
      <c r="H171" s="219"/>
      <c r="I171" s="219"/>
      <c r="J171" s="219"/>
      <c r="K171" s="219"/>
      <c r="L171" s="219"/>
      <c r="M171" s="139"/>
      <c r="N171" s="139"/>
      <c r="O171" s="139"/>
      <c r="P171" s="139"/>
      <c r="Q171" s="139"/>
      <c r="R171" s="117"/>
      <c r="S171" s="117"/>
      <c r="T171" s="117"/>
      <c r="V171" s="119" t="s">
        <v>78</v>
      </c>
      <c r="W171" s="119" t="s">
        <v>122</v>
      </c>
      <c r="X171" s="117" t="str" cm="1">
        <f t="array" ref="X171">_xll.FDSC("--",$A$1,""&amp;$V171&amp;"("&amp;$W171&amp;","&amp;D$2&amp;",ANNUAL_ROLL,+1,0,,,'CURRENCY="&amp;$E$1&amp;"')")</f>
        <v>--</v>
      </c>
      <c r="Y171" s="117" t="str" cm="1">
        <f t="array" ref="Y171">_xll.FDSC("--",$A$1,""&amp;$V171&amp;"("&amp;$W171&amp;","&amp;D$2&amp;",ANNUAL_ROLL,+2,0,,,'CURRENCY="&amp;$E$1&amp;"')")</f>
        <v>--</v>
      </c>
      <c r="Z171" s="117" t="str" cm="1">
        <f t="array" ref="Z171">_xll.FDSC("--",$A$1,""&amp;$V171&amp;"("&amp;$W171&amp;","&amp;D$2&amp;",ANNUAL_ROLL,+3,0,,,'CURRENCY="&amp;$E$1&amp;"')")</f>
        <v>--</v>
      </c>
      <c r="AA171" s="117"/>
      <c r="AB171" s="111"/>
      <c r="AC171" s="185"/>
    </row>
    <row r="172" spans="1:46" s="92" customFormat="1" x14ac:dyDescent="0.15">
      <c r="A172" s="183" t="s">
        <v>113</v>
      </c>
      <c r="B172" s="140">
        <f>CHOOSE(IF($B$1=2,2,1),'GAAP-IFRS'!E32,IF('Broker Actual'!E32="-",'GAAP-IFRS'!E32,'Broker Actual'!E32))</f>
        <v>4841.8999999999996</v>
      </c>
      <c r="C172" s="140">
        <f>CHOOSE(IF($B$1=2,2,1),'GAAP-IFRS'!F32,IF('Broker Actual'!F32="-",'GAAP-IFRS'!F32,'Broker Actual'!F32))</f>
        <v>4330.3</v>
      </c>
      <c r="D172" s="140">
        <f>CHOOSE(IF($B$1=2,2,1),'GAAP-IFRS'!G32,IF('Broker Actual'!G32="-",'GAAP-IFRS'!G32,'Broker Actual'!G32))</f>
        <v>4883.3999999999996</v>
      </c>
      <c r="E172" s="140">
        <f>CHOOSE(IF($B$1=2,2,1),'GAAP-IFRS'!H32,IF('Broker Actual'!H32="-",'GAAP-IFRS'!H32,'Broker Actual'!H32))</f>
        <v>4354</v>
      </c>
      <c r="F172" s="140">
        <f>CHOOSE(IF($B$1=2,2,1),'GAAP-IFRS'!I32,IF('Broker Actual'!I32="-",'GAAP-IFRS'!I32,'Broker Actual'!I32))</f>
        <v>4551.8999999999996</v>
      </c>
      <c r="G172" s="140">
        <f>CHOOSE(IF($B$1=2,2,1),'GAAP-IFRS'!J32,IF('Broker Actual'!J32="-",'GAAP-IFRS'!J32,'Broker Actual'!J32))</f>
        <v>5241.2</v>
      </c>
      <c r="H172" s="140">
        <f>CHOOSE(IF($B$1=2,2,1),'GAAP-IFRS'!K32,IF('Broker Actual'!K32="-",'GAAP-IFRS'!K32,'Broker Actual'!K32))</f>
        <v>4447.6000000000004</v>
      </c>
      <c r="I172" s="140">
        <f>CHOOSE(IF($B$1=2,2,1),'GAAP-IFRS'!L32,IF('Broker Actual'!L32="-",'GAAP-IFRS'!L32,'Broker Actual'!L32))</f>
        <v>4510.3</v>
      </c>
      <c r="J172" s="140">
        <f>CHOOSE(IF($B$1=2,2,1),'GAAP-IFRS'!M32,IF('Broker Actual'!M32="-",'GAAP-IFRS'!M32,'Broker Actual'!M32))</f>
        <v>4768.8</v>
      </c>
      <c r="K172" s="140">
        <f>CHOOSE(IF($B$1=2,2,1),'GAAP-IFRS'!N32,IF('Broker Actual'!N32="-",'GAAP-IFRS'!N32,'Broker Actual'!N32))</f>
        <v>4370.5</v>
      </c>
      <c r="L172" s="140">
        <f>CHOOSE(IF($B$1=2,2,1),'GAAP-IFRS'!O32,IF('Broker Actual'!O32="-",'GAAP-IFRS'!O32,'Broker Actual'!O32))</f>
        <v>4741.8</v>
      </c>
      <c r="M172" s="302">
        <f>M173*M176</f>
        <v>5010.4492448399405</v>
      </c>
      <c r="N172" s="302">
        <f t="shared" ref="N172:Q172" si="95">N173*N176</f>
        <v>4722.4984948820438</v>
      </c>
      <c r="O172" s="302">
        <f t="shared" si="95"/>
        <v>4937.9611935855146</v>
      </c>
      <c r="P172" s="302">
        <f t="shared" si="95"/>
        <v>5141.6984203774509</v>
      </c>
      <c r="Q172" s="302">
        <f t="shared" si="95"/>
        <v>5431.5448884889229</v>
      </c>
      <c r="R172" s="114"/>
      <c r="S172" s="114"/>
      <c r="T172" s="114"/>
      <c r="U172" s="187"/>
      <c r="V172" s="119"/>
      <c r="W172" s="119"/>
      <c r="X172" s="117"/>
      <c r="Y172" s="117"/>
      <c r="Z172" s="117"/>
      <c r="AA172" s="117"/>
      <c r="AB172" s="189"/>
      <c r="AC172" s="190"/>
      <c r="AJ172" s="78"/>
      <c r="AK172" s="78"/>
      <c r="AL172" s="78"/>
      <c r="AM172" s="78"/>
      <c r="AN172" s="78"/>
      <c r="AO172" s="78"/>
      <c r="AP172" s="78"/>
      <c r="AQ172" s="78"/>
      <c r="AR172" s="78"/>
      <c r="AS172" s="78"/>
      <c r="AT172" s="78"/>
    </row>
    <row r="173" spans="1:46" s="92" customFormat="1" x14ac:dyDescent="0.15">
      <c r="A173" s="184" t="s">
        <v>528</v>
      </c>
      <c r="B173" s="140"/>
      <c r="C173" s="300">
        <f>C172/C176</f>
        <v>7.3765744403220257E-2</v>
      </c>
      <c r="D173" s="300">
        <f t="shared" ref="D173:L173" si="96">D172/D176</f>
        <v>7.9078150276661791E-2</v>
      </c>
      <c r="E173" s="300">
        <f t="shared" si="96"/>
        <v>7.2735412824419324E-2</v>
      </c>
      <c r="F173" s="300">
        <f t="shared" si="96"/>
        <v>7.4318918760061511E-2</v>
      </c>
      <c r="G173" s="300">
        <f t="shared" si="96"/>
        <v>8.2769293937431904E-2</v>
      </c>
      <c r="H173" s="300">
        <f t="shared" si="96"/>
        <v>7.2691019040614535E-2</v>
      </c>
      <c r="I173" s="300">
        <f t="shared" si="96"/>
        <v>6.7896551205045994E-2</v>
      </c>
      <c r="J173" s="300">
        <f t="shared" si="96"/>
        <v>6.8031150985843961E-2</v>
      </c>
      <c r="K173" s="300">
        <f t="shared" si="96"/>
        <v>6.2828843334004195E-2</v>
      </c>
      <c r="L173" s="300">
        <f t="shared" si="96"/>
        <v>7.8284729376337278E-2</v>
      </c>
      <c r="M173" s="123">
        <v>0.08</v>
      </c>
      <c r="N173" s="123">
        <f t="shared" ref="N173:Q173" si="97">AVERAGE(I173:M173)</f>
        <v>7.1408254980246291E-2</v>
      </c>
      <c r="O173" s="123">
        <f t="shared" si="97"/>
        <v>7.2110595735286345E-2</v>
      </c>
      <c r="P173" s="123">
        <f t="shared" si="97"/>
        <v>7.2926484685174819E-2</v>
      </c>
      <c r="Q173" s="123">
        <f t="shared" si="97"/>
        <v>7.4946012955408953E-2</v>
      </c>
      <c r="R173" s="114"/>
      <c r="S173" s="114"/>
      <c r="T173" s="114"/>
      <c r="U173" s="187"/>
      <c r="V173" s="119"/>
      <c r="W173" s="119"/>
      <c r="X173" s="117"/>
      <c r="Y173" s="117"/>
      <c r="Z173" s="117"/>
      <c r="AA173" s="117"/>
      <c r="AB173" s="189"/>
      <c r="AC173" s="190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</row>
    <row r="174" spans="1:46" s="92" customFormat="1" x14ac:dyDescent="0.15">
      <c r="A174" s="183"/>
      <c r="B174" s="140"/>
      <c r="C174" s="140"/>
      <c r="D174" s="140"/>
      <c r="E174" s="140"/>
      <c r="F174" s="140"/>
      <c r="G174" s="140"/>
      <c r="H174" s="140"/>
      <c r="I174" s="140"/>
      <c r="J174" s="140"/>
      <c r="K174" s="140"/>
      <c r="L174" s="140"/>
      <c r="M174" s="75"/>
      <c r="N174" s="75"/>
      <c r="O174" s="75"/>
      <c r="P174" s="75"/>
      <c r="Q174" s="75"/>
      <c r="R174" s="114"/>
      <c r="S174" s="114"/>
      <c r="T174" s="114"/>
      <c r="U174" s="187"/>
      <c r="V174" s="147"/>
      <c r="W174" s="147"/>
      <c r="X174" s="145"/>
      <c r="Y174" s="145"/>
      <c r="Z174" s="145"/>
      <c r="AA174" s="117"/>
      <c r="AB174" s="189"/>
      <c r="AC174" s="190"/>
      <c r="AJ174" s="78"/>
      <c r="AK174" s="78"/>
      <c r="AL174" s="78"/>
      <c r="AM174" s="78"/>
      <c r="AN174" s="78"/>
      <c r="AO174" s="78"/>
      <c r="AP174" s="78"/>
      <c r="AQ174" s="78"/>
      <c r="AR174" s="78"/>
      <c r="AS174" s="78"/>
      <c r="AT174" s="78"/>
    </row>
    <row r="175" spans="1:46" outlineLevel="1" x14ac:dyDescent="0.15">
      <c r="A175" s="218"/>
      <c r="B175" s="182"/>
      <c r="C175" s="219"/>
      <c r="D175" s="219"/>
      <c r="E175" s="219"/>
      <c r="F175" s="219"/>
      <c r="G175" s="219"/>
      <c r="H175" s="219"/>
      <c r="I175" s="219"/>
      <c r="J175" s="219"/>
      <c r="K175" s="219"/>
      <c r="L175" s="219"/>
      <c r="R175" s="117"/>
      <c r="S175" s="117"/>
      <c r="T175" s="117"/>
      <c r="V175" s="147"/>
      <c r="W175" s="147"/>
      <c r="X175" s="145"/>
      <c r="Y175" s="145"/>
      <c r="Z175" s="145"/>
      <c r="AA175" s="117"/>
      <c r="AB175" s="111"/>
      <c r="AC175" s="185"/>
    </row>
    <row r="176" spans="1:46" x14ac:dyDescent="0.15">
      <c r="A176" s="78" t="s">
        <v>283</v>
      </c>
      <c r="B176" s="138"/>
      <c r="C176" s="139">
        <f t="shared" ref="C176" si="98">C169+C168+C167+C164+C151+C155+C153+C158</f>
        <v>58703.4</v>
      </c>
      <c r="D176" s="139">
        <f>D169+D168+D167+D164+D151+D155+D153+D158</f>
        <v>61754.1</v>
      </c>
      <c r="E176" s="139">
        <f t="shared" ref="E176:K176" si="99">E169+E168+E167+E164+E151+E155+E153+E158</f>
        <v>59860.799999999996</v>
      </c>
      <c r="F176" s="139">
        <f t="shared" si="99"/>
        <v>61248.200000000004</v>
      </c>
      <c r="G176" s="139">
        <f t="shared" si="99"/>
        <v>63322.999999999993</v>
      </c>
      <c r="H176" s="139">
        <f t="shared" si="99"/>
        <v>61185</v>
      </c>
      <c r="I176" s="139">
        <f t="shared" si="99"/>
        <v>66429</v>
      </c>
      <c r="J176" s="139">
        <f t="shared" si="99"/>
        <v>70097.3</v>
      </c>
      <c r="K176" s="139">
        <f t="shared" si="99"/>
        <v>69562</v>
      </c>
      <c r="L176" s="139">
        <f t="shared" ref="L176:Q176" si="100">L169+L168+L167+L164+L151+L155+L153+L158</f>
        <v>60571.199999999997</v>
      </c>
      <c r="M176" s="139">
        <f t="shared" si="100"/>
        <v>62630.61556049926</v>
      </c>
      <c r="N176" s="139">
        <f t="shared" si="100"/>
        <v>66133.789380351489</v>
      </c>
      <c r="O176" s="139">
        <f t="shared" si="100"/>
        <v>68477.609195082405</v>
      </c>
      <c r="P176" s="139">
        <f t="shared" si="100"/>
        <v>70505.227868507194</v>
      </c>
      <c r="Q176" s="139">
        <f t="shared" si="100"/>
        <v>72472.766386125964</v>
      </c>
      <c r="V176" s="147"/>
      <c r="W176" s="147"/>
      <c r="X176" s="145"/>
      <c r="Y176" s="145"/>
      <c r="Z176" s="145"/>
      <c r="AA176" s="145"/>
    </row>
    <row r="177" spans="1:29" outlineLevel="1" x14ac:dyDescent="0.15">
      <c r="A177" s="128" t="s">
        <v>74</v>
      </c>
      <c r="B177" s="159"/>
      <c r="C177" s="138"/>
      <c r="D177" s="138">
        <f t="shared" ref="D177:Q177" si="101">D176/C176-1</f>
        <v>5.1968029109046521E-2</v>
      </c>
      <c r="E177" s="138">
        <f t="shared" si="101"/>
        <v>-3.065869310701641E-2</v>
      </c>
      <c r="F177" s="138">
        <f t="shared" si="101"/>
        <v>2.3177104215112543E-2</v>
      </c>
      <c r="G177" s="138">
        <f t="shared" si="101"/>
        <v>3.3875281232754295E-2</v>
      </c>
      <c r="H177" s="138">
        <f t="shared" si="101"/>
        <v>-3.3763403502676592E-2</v>
      </c>
      <c r="I177" s="138">
        <f t="shared" si="101"/>
        <v>8.5707281196371721E-2</v>
      </c>
      <c r="J177" s="138">
        <f t="shared" si="101"/>
        <v>5.5221364163241971E-2</v>
      </c>
      <c r="K177" s="138">
        <f t="shared" si="101"/>
        <v>-7.6365280831073301E-3</v>
      </c>
      <c r="L177" s="138">
        <f t="shared" si="101"/>
        <v>-0.1292487277536587</v>
      </c>
      <c r="M177" s="138">
        <f t="shared" si="101"/>
        <v>3.3999913498482082E-2</v>
      </c>
      <c r="N177" s="138">
        <f t="shared" si="101"/>
        <v>5.5933887740066579E-2</v>
      </c>
      <c r="O177" s="138">
        <f t="shared" si="101"/>
        <v>3.5440579417747253E-2</v>
      </c>
      <c r="P177" s="138">
        <f t="shared" si="101"/>
        <v>2.9609951300262338E-2</v>
      </c>
      <c r="Q177" s="138">
        <f t="shared" si="101"/>
        <v>2.7906278400918749E-2</v>
      </c>
      <c r="R177" s="111"/>
      <c r="S177" s="111"/>
      <c r="T177" s="111"/>
      <c r="V177" s="119"/>
      <c r="W177" s="119"/>
      <c r="X177" s="117"/>
      <c r="Y177" s="117"/>
      <c r="Z177" s="117"/>
      <c r="AA177" s="145"/>
    </row>
    <row r="178" spans="1:29" x14ac:dyDescent="0.15">
      <c r="B178" s="138"/>
      <c r="C178" s="220"/>
      <c r="D178" s="220"/>
      <c r="E178" s="220"/>
      <c r="F178" s="220"/>
      <c r="G178" s="220"/>
      <c r="H178" s="220"/>
      <c r="I178" s="220"/>
      <c r="J178" s="220"/>
      <c r="K178" s="220"/>
      <c r="L178" s="220"/>
      <c r="V178" s="119"/>
      <c r="W178" s="119"/>
      <c r="X178" s="117"/>
      <c r="Y178" s="117"/>
      <c r="Z178" s="117"/>
      <c r="AA178" s="111"/>
    </row>
    <row r="179" spans="1:29" outlineLevel="2" x14ac:dyDescent="0.15">
      <c r="A179" s="125" t="s">
        <v>284</v>
      </c>
      <c r="B179" s="133">
        <f>B172-B169</f>
        <v>4841.8999999999996</v>
      </c>
      <c r="C179" s="134">
        <f t="shared" ref="C179:L179" si="102">C176-C182</f>
        <v>0</v>
      </c>
      <c r="D179" s="134">
        <f t="shared" si="102"/>
        <v>0</v>
      </c>
      <c r="E179" s="134">
        <f t="shared" si="102"/>
        <v>0</v>
      </c>
      <c r="F179" s="134">
        <f t="shared" si="102"/>
        <v>0</v>
      </c>
      <c r="G179" s="134">
        <f t="shared" si="102"/>
        <v>0</v>
      </c>
      <c r="H179" s="134">
        <f t="shared" si="102"/>
        <v>0</v>
      </c>
      <c r="I179" s="134">
        <f t="shared" si="102"/>
        <v>0</v>
      </c>
      <c r="J179" s="134">
        <f t="shared" si="102"/>
        <v>0</v>
      </c>
      <c r="K179" s="134">
        <f t="shared" si="102"/>
        <v>0</v>
      </c>
      <c r="L179" s="134">
        <f t="shared" si="102"/>
        <v>0</v>
      </c>
      <c r="P179" s="117"/>
      <c r="Q179" s="117"/>
      <c r="R179" s="117"/>
      <c r="S179" s="117"/>
      <c r="T179" s="117"/>
      <c r="U179" s="118"/>
      <c r="V179" s="119"/>
      <c r="W179" s="119"/>
      <c r="X179" s="117"/>
      <c r="Y179" s="117"/>
      <c r="Z179" s="117"/>
      <c r="AA179" s="111"/>
      <c r="AB179" s="117"/>
      <c r="AC179" s="120"/>
    </row>
    <row r="180" spans="1:29" outlineLevel="2" x14ac:dyDescent="0.15">
      <c r="A180" s="128" t="s">
        <v>285</v>
      </c>
      <c r="B180" s="135" t="e">
        <f>B179/B$37</f>
        <v>#REF!</v>
      </c>
      <c r="C180" s="136">
        <f t="shared" ref="C180:L180" si="103">C179/C176</f>
        <v>0</v>
      </c>
      <c r="D180" s="136">
        <f t="shared" si="103"/>
        <v>0</v>
      </c>
      <c r="E180" s="136">
        <f t="shared" si="103"/>
        <v>0</v>
      </c>
      <c r="F180" s="136">
        <f t="shared" si="103"/>
        <v>0</v>
      </c>
      <c r="G180" s="136">
        <f t="shared" si="103"/>
        <v>0</v>
      </c>
      <c r="H180" s="136">
        <f t="shared" si="103"/>
        <v>0</v>
      </c>
      <c r="I180" s="136">
        <f t="shared" si="103"/>
        <v>0</v>
      </c>
      <c r="J180" s="136">
        <f t="shared" si="103"/>
        <v>0</v>
      </c>
      <c r="K180" s="136">
        <f t="shared" si="103"/>
        <v>0</v>
      </c>
      <c r="L180" s="136">
        <f t="shared" si="103"/>
        <v>0</v>
      </c>
      <c r="P180" s="117"/>
      <c r="Q180" s="117"/>
      <c r="R180" s="117"/>
      <c r="S180" s="117"/>
      <c r="T180" s="117"/>
      <c r="U180" s="118"/>
      <c r="V180" s="119"/>
      <c r="W180" s="119"/>
      <c r="X180" s="117"/>
      <c r="Y180" s="117"/>
      <c r="Z180" s="117"/>
      <c r="AA180" s="111"/>
      <c r="AB180" s="117"/>
      <c r="AC180" s="120"/>
    </row>
    <row r="181" spans="1:29" ht="13.25" customHeight="1" outlineLevel="1" x14ac:dyDescent="0.15">
      <c r="P181" s="117"/>
      <c r="Q181" s="117"/>
      <c r="R181" s="117"/>
      <c r="S181" s="117"/>
      <c r="T181" s="117"/>
      <c r="U181" s="118"/>
      <c r="V181" s="147"/>
      <c r="W181" s="147"/>
      <c r="X181" s="145"/>
      <c r="Y181" s="145"/>
      <c r="Z181" s="145"/>
      <c r="AA181" s="111"/>
      <c r="AB181" s="117"/>
      <c r="AC181" s="120"/>
    </row>
    <row r="182" spans="1:29" outlineLevel="1" x14ac:dyDescent="0.15">
      <c r="A182" s="186" t="s">
        <v>116</v>
      </c>
      <c r="B182" s="140">
        <f>CHOOSE(IF($B$1=2,2,1),'GAAP-IFRS'!E35,IF('Broker Actual'!E35="-",'GAAP-IFRS'!E35,'Broker Actual'!E35))</f>
        <v>58082.8</v>
      </c>
      <c r="C182" s="140">
        <f>CHOOSE(IF($B$1=2,2,1),'GAAP-IFRS'!F35,IF('Broker Actual'!F35="-",'GAAP-IFRS'!F35,'Broker Actual'!F35))</f>
        <v>58703.4</v>
      </c>
      <c r="D182" s="140">
        <f>CHOOSE(IF($B$1=2,2,1),'GAAP-IFRS'!G35,IF('Broker Actual'!G35="-",'GAAP-IFRS'!G35,'Broker Actual'!G35))</f>
        <v>61754.1</v>
      </c>
      <c r="E182" s="140">
        <f>CHOOSE(IF($B$1=2,2,1),'GAAP-IFRS'!H35,IF('Broker Actual'!H35="-",'GAAP-IFRS'!H35,'Broker Actual'!H35))</f>
        <v>59860.799999999996</v>
      </c>
      <c r="F182" s="140">
        <f>CHOOSE(IF($B$1=2,2,1),'GAAP-IFRS'!I35,IF('Broker Actual'!I35="-",'GAAP-IFRS'!I35,'Broker Actual'!I35))</f>
        <v>61248.200000000004</v>
      </c>
      <c r="G182" s="140">
        <f>CHOOSE(IF($B$1=2,2,1),'GAAP-IFRS'!J35,IF('Broker Actual'!J35="-",'GAAP-IFRS'!J35,'Broker Actual'!J35))</f>
        <v>63322.999999999993</v>
      </c>
      <c r="H182" s="140">
        <f>CHOOSE(IF($B$1=2,2,1),'GAAP-IFRS'!K35,IF('Broker Actual'!K35="-",'GAAP-IFRS'!K35,'Broker Actual'!K35))</f>
        <v>61185</v>
      </c>
      <c r="I182" s="140">
        <f>CHOOSE(IF($B$1=2,2,1),'GAAP-IFRS'!L35,IF('Broker Actual'!L35="-",'GAAP-IFRS'!L35,'Broker Actual'!L35))</f>
        <v>66429</v>
      </c>
      <c r="J182" s="140">
        <f>CHOOSE(IF($B$1=2,2,1),'GAAP-IFRS'!M35,IF('Broker Actual'!M35="-",'GAAP-IFRS'!M35,'Broker Actual'!M35))</f>
        <v>70097.3</v>
      </c>
      <c r="K182" s="140">
        <f>CHOOSE(IF($B$1=2,2,1),'GAAP-IFRS'!N35,IF('Broker Actual'!N35="-",'GAAP-IFRS'!N35,'Broker Actual'!N35))</f>
        <v>69562</v>
      </c>
      <c r="L182" s="140">
        <f>CHOOSE(IF($B$1=2,2,1),'GAAP-IFRS'!O35,IF('Broker Actual'!O35="-",'GAAP-IFRS'!O35,'Broker Actual'!O35))</f>
        <v>60571.199999999997</v>
      </c>
      <c r="P182" s="117"/>
      <c r="Q182" s="117"/>
      <c r="R182" s="117"/>
      <c r="S182" s="117"/>
      <c r="T182" s="117"/>
      <c r="U182" s="118"/>
      <c r="V182" s="119"/>
      <c r="W182" s="119"/>
      <c r="X182" s="117"/>
      <c r="Y182" s="117"/>
      <c r="Z182" s="117"/>
      <c r="AA182" s="111"/>
      <c r="AB182" s="117"/>
      <c r="AC182" s="120"/>
    </row>
    <row r="183" spans="1:29" outlineLevel="1" x14ac:dyDescent="0.15">
      <c r="A183" s="186"/>
      <c r="B183" s="140"/>
      <c r="C183" s="140"/>
      <c r="D183" s="140"/>
      <c r="E183" s="140"/>
      <c r="F183" s="140"/>
      <c r="G183" s="140"/>
      <c r="H183" s="140"/>
      <c r="I183" s="140"/>
      <c r="J183" s="140"/>
      <c r="K183" s="140"/>
      <c r="L183" s="140"/>
      <c r="P183" s="117"/>
      <c r="Q183" s="117"/>
      <c r="R183" s="117"/>
      <c r="S183" s="117"/>
      <c r="T183" s="117"/>
      <c r="U183" s="118"/>
      <c r="V183" s="119" t="s">
        <v>78</v>
      </c>
      <c r="W183" s="119" t="s">
        <v>126</v>
      </c>
      <c r="X183" s="117" cm="1">
        <f t="array" ref="X183">_xll.FDSC("--",$A$1,""&amp;$V183&amp;"("&amp;$W183&amp;","&amp;D$2&amp;",ANNUAL_ROLL,+1,0,,,'CURRENCY="&amp;$E$1&amp;"')")</f>
        <v>10837.2</v>
      </c>
      <c r="Y183" s="117" cm="1">
        <f t="array" ref="Y183">_xll.FDSC("--",$A$1,""&amp;$V183&amp;"("&amp;$W183&amp;","&amp;D$2&amp;",ANNUAL_ROLL,+2,0,,,'CURRENCY="&amp;$E$1&amp;"')")</f>
        <v>11071.2</v>
      </c>
      <c r="Z183" s="117" cm="1">
        <f t="array" ref="Z183">_xll.FDSC("--",$A$1,""&amp;$V183&amp;"("&amp;$W183&amp;","&amp;D$2&amp;",ANNUAL_ROLL,+3,0,,,'CURRENCY="&amp;$E$1&amp;"')")</f>
        <v>11566</v>
      </c>
      <c r="AA183" s="111"/>
      <c r="AB183" s="117"/>
      <c r="AC183" s="120"/>
    </row>
    <row r="184" spans="1:29" ht="15" outlineLevel="1" x14ac:dyDescent="0.15">
      <c r="A184" s="223" t="s">
        <v>286</v>
      </c>
      <c r="B184" s="140"/>
      <c r="C184" s="265">
        <v>1511</v>
      </c>
      <c r="D184" s="255">
        <v>1529.3</v>
      </c>
      <c r="E184" s="255">
        <v>1484.6</v>
      </c>
      <c r="F184" s="255">
        <v>1507.9</v>
      </c>
      <c r="G184" s="255">
        <v>1605.2</v>
      </c>
      <c r="H184" s="255">
        <v>1695.7</v>
      </c>
      <c r="I184" s="255">
        <v>1745.5</v>
      </c>
      <c r="J184" s="255">
        <v>1855.4</v>
      </c>
      <c r="K184" s="255">
        <v>1907.7</v>
      </c>
      <c r="L184" s="255">
        <v>5740.2</v>
      </c>
      <c r="M184" s="139">
        <f>M11*M185</f>
        <v>4013.8447999999999</v>
      </c>
      <c r="N184" s="139">
        <f>N11*N185</f>
        <v>4048.7281239999998</v>
      </c>
      <c r="O184" s="139">
        <f>O11*O185</f>
        <v>3818.4900271360002</v>
      </c>
      <c r="P184" s="139">
        <f>P11*P185</f>
        <v>3733.2265059258798</v>
      </c>
      <c r="Q184" s="139">
        <f>Q11*Q185</f>
        <v>3620.6557136843639</v>
      </c>
      <c r="R184" s="117"/>
      <c r="S184" s="117"/>
      <c r="T184" s="117"/>
      <c r="U184" s="118"/>
      <c r="V184" s="147"/>
      <c r="W184" s="147"/>
      <c r="X184" s="145"/>
      <c r="Y184" s="145"/>
      <c r="Z184" s="145"/>
      <c r="AA184" s="111"/>
      <c r="AB184" s="117"/>
      <c r="AC184" s="120"/>
    </row>
    <row r="185" spans="1:29" ht="15" outlineLevel="1" x14ac:dyDescent="0.15">
      <c r="A185" s="223" t="s">
        <v>529</v>
      </c>
      <c r="B185" s="262"/>
      <c r="C185" s="301">
        <f t="shared" ref="C185:L185" si="104">C184/C11</f>
        <v>0.1981717313468071</v>
      </c>
      <c r="D185" s="301">
        <f t="shared" si="104"/>
        <v>0.1961345098240394</v>
      </c>
      <c r="E185" s="301">
        <f t="shared" si="104"/>
        <v>0.18368306443630605</v>
      </c>
      <c r="F185" s="301">
        <f t="shared" si="104"/>
        <v>0.18042045060243847</v>
      </c>
      <c r="G185" s="301">
        <f t="shared" si="104"/>
        <v>0.1867141245303649</v>
      </c>
      <c r="H185" s="301">
        <f t="shared" si="104"/>
        <v>0.18870255171876565</v>
      </c>
      <c r="I185" s="301">
        <f t="shared" si="104"/>
        <v>0.18637353719996583</v>
      </c>
      <c r="J185" s="301">
        <f t="shared" si="104"/>
        <v>0.19784391294611914</v>
      </c>
      <c r="K185" s="301">
        <f t="shared" si="104"/>
        <v>0.20121295222022995</v>
      </c>
      <c r="L185" s="301">
        <f t="shared" si="104"/>
        <v>0.59648357129496854</v>
      </c>
      <c r="M185" s="123">
        <v>0.4</v>
      </c>
      <c r="N185" s="123">
        <v>0.35</v>
      </c>
      <c r="O185" s="123">
        <v>0.32</v>
      </c>
      <c r="P185" s="123">
        <v>0.31</v>
      </c>
      <c r="Q185" s="123">
        <v>0.3</v>
      </c>
      <c r="R185" s="117"/>
      <c r="S185" s="117"/>
      <c r="T185" s="117"/>
      <c r="V185" s="192"/>
      <c r="W185" s="192"/>
      <c r="X185" s="111"/>
      <c r="Y185" s="111"/>
      <c r="Z185" s="111"/>
      <c r="AA185" s="111"/>
      <c r="AB185" s="111"/>
      <c r="AC185" s="185"/>
    </row>
    <row r="186" spans="1:29" outlineLevel="1" x14ac:dyDescent="0.15">
      <c r="A186" s="223"/>
      <c r="B186" s="140"/>
      <c r="C186" s="265"/>
      <c r="D186" s="255"/>
      <c r="E186" s="255"/>
      <c r="F186" s="255"/>
      <c r="G186" s="255"/>
      <c r="H186" s="255"/>
      <c r="I186" s="255"/>
      <c r="J186" s="255"/>
      <c r="K186" s="255"/>
      <c r="L186" s="255"/>
      <c r="M186" s="123"/>
      <c r="N186" s="123"/>
      <c r="O186" s="123"/>
      <c r="P186" s="117"/>
      <c r="Q186" s="117"/>
      <c r="R186" s="117"/>
      <c r="S186" s="117"/>
      <c r="T186" s="117"/>
      <c r="U186" s="118"/>
      <c r="V186" s="169"/>
      <c r="W186" s="169"/>
      <c r="X186" s="159"/>
      <c r="Y186" s="159"/>
      <c r="Z186" s="159"/>
      <c r="AA186" s="111"/>
      <c r="AB186" s="117"/>
      <c r="AC186" s="120"/>
    </row>
    <row r="187" spans="1:29" ht="15" outlineLevel="1" x14ac:dyDescent="0.15">
      <c r="A187" s="223" t="s">
        <v>287</v>
      </c>
      <c r="B187" s="140"/>
      <c r="C187" s="255">
        <v>43099.1</v>
      </c>
      <c r="D187" s="255">
        <v>45929.4</v>
      </c>
      <c r="E187" s="255">
        <v>43540.6</v>
      </c>
      <c r="F187" s="255">
        <v>44245.9</v>
      </c>
      <c r="G187" s="255">
        <v>45601.599999999999</v>
      </c>
      <c r="H187" s="255">
        <v>44841.9</v>
      </c>
      <c r="I187" s="255">
        <v>47780.1</v>
      </c>
      <c r="J187" s="255">
        <v>49653</v>
      </c>
      <c r="K187" s="255">
        <v>48007.5</v>
      </c>
      <c r="L187" s="255">
        <v>38577.1</v>
      </c>
      <c r="M187" s="139">
        <f>M188*M11</f>
        <v>40138.447999999997</v>
      </c>
      <c r="N187" s="139">
        <f>N188*N11</f>
        <v>46386.856506399999</v>
      </c>
      <c r="O187" s="139">
        <f>O188*O11</f>
        <v>47850.453152547998</v>
      </c>
      <c r="P187" s="139">
        <f>P188*P11</f>
        <v>48291.091254073472</v>
      </c>
      <c r="Q187" s="139">
        <f>Q188*Q11</f>
        <v>48396.098039580997</v>
      </c>
      <c r="R187" s="117"/>
      <c r="S187" s="117"/>
      <c r="T187" s="117"/>
      <c r="U187" s="118"/>
      <c r="V187" s="192"/>
      <c r="W187" s="192"/>
      <c r="X187" s="111"/>
      <c r="Y187" s="111"/>
      <c r="Z187" s="111"/>
      <c r="AA187" s="111"/>
      <c r="AB187" s="117"/>
      <c r="AC187" s="120"/>
    </row>
    <row r="188" spans="1:29" ht="15" outlineLevel="1" x14ac:dyDescent="0.15">
      <c r="A188" s="497" t="s">
        <v>529</v>
      </c>
      <c r="B188" s="140"/>
      <c r="C188" s="303">
        <f t="shared" ref="C188:L188" si="105">C187/C11</f>
        <v>5.6525633795428014</v>
      </c>
      <c r="D188" s="303">
        <f t="shared" si="105"/>
        <v>5.8904991535422973</v>
      </c>
      <c r="E188" s="303">
        <f t="shared" si="105"/>
        <v>5.387087993665248</v>
      </c>
      <c r="F188" s="303">
        <f t="shared" si="105"/>
        <v>5.2940282613637724</v>
      </c>
      <c r="G188" s="303">
        <f t="shared" si="105"/>
        <v>5.3043002873061846</v>
      </c>
      <c r="H188" s="303">
        <f t="shared" si="105"/>
        <v>4.9901403278396632</v>
      </c>
      <c r="I188" s="303">
        <f t="shared" si="105"/>
        <v>5.1016592636883908</v>
      </c>
      <c r="J188" s="303">
        <f t="shared" si="105"/>
        <v>5.2945692624305565</v>
      </c>
      <c r="K188" s="303">
        <f t="shared" si="105"/>
        <v>5.0635481489294376</v>
      </c>
      <c r="L188" s="303">
        <f t="shared" si="105"/>
        <v>4.0086767670469898</v>
      </c>
      <c r="M188" s="299">
        <v>4</v>
      </c>
      <c r="N188" s="299">
        <v>4.01</v>
      </c>
      <c r="O188" s="299">
        <f>N188</f>
        <v>4.01</v>
      </c>
      <c r="P188" s="299">
        <f t="shared" ref="P188:Q188" si="106">O188</f>
        <v>4.01</v>
      </c>
      <c r="Q188" s="299">
        <f t="shared" si="106"/>
        <v>4.01</v>
      </c>
      <c r="R188" s="117"/>
      <c r="S188" s="117"/>
      <c r="T188" s="117"/>
      <c r="U188" s="118"/>
      <c r="V188" s="192"/>
      <c r="W188" s="192"/>
      <c r="X188" s="111"/>
      <c r="Y188" s="111"/>
      <c r="Z188" s="111"/>
      <c r="AA188" s="111"/>
      <c r="AB188" s="117"/>
      <c r="AC188" s="120"/>
    </row>
    <row r="189" spans="1:29" outlineLevel="1" x14ac:dyDescent="0.15">
      <c r="A189" s="223"/>
      <c r="B189" s="140"/>
      <c r="C189" s="255"/>
      <c r="D189" s="255"/>
      <c r="E189" s="255"/>
      <c r="F189" s="255"/>
      <c r="G189" s="255"/>
      <c r="H189" s="255"/>
      <c r="I189" s="255"/>
      <c r="J189" s="255"/>
      <c r="K189" s="255"/>
      <c r="L189" s="255"/>
      <c r="P189" s="117"/>
      <c r="Q189" s="117"/>
      <c r="R189" s="117"/>
      <c r="S189" s="117"/>
      <c r="T189" s="117"/>
      <c r="U189" s="118"/>
      <c r="V189" s="192"/>
      <c r="W189" s="192"/>
      <c r="X189" s="111"/>
      <c r="Y189" s="111"/>
      <c r="Z189" s="111"/>
      <c r="AA189" s="111"/>
      <c r="AB189" s="117"/>
      <c r="AC189" s="120"/>
    </row>
    <row r="190" spans="1:29" ht="15" outlineLevel="1" x14ac:dyDescent="0.15">
      <c r="A190" s="223" t="s">
        <v>288</v>
      </c>
      <c r="B190" s="140"/>
      <c r="C190" s="255">
        <v>413.8</v>
      </c>
      <c r="D190" s="255">
        <v>396.6</v>
      </c>
      <c r="E190" s="255">
        <v>384.2</v>
      </c>
      <c r="F190" s="255">
        <v>363.7</v>
      </c>
      <c r="G190" s="255">
        <v>373.1</v>
      </c>
      <c r="H190" s="255">
        <v>363.3</v>
      </c>
      <c r="I190" s="255">
        <v>363.9</v>
      </c>
      <c r="J190" s="255">
        <v>349.3</v>
      </c>
      <c r="K190" s="255">
        <v>347.5</v>
      </c>
      <c r="L190" s="255">
        <v>365.5</v>
      </c>
      <c r="M190" s="151">
        <f>AVERAGE(I190:L190)</f>
        <v>356.55</v>
      </c>
      <c r="N190" s="151">
        <f t="shared" ref="N190:Q200" si="107">AVERAGE(J190:M190)</f>
        <v>354.71249999999998</v>
      </c>
      <c r="O190" s="151">
        <f t="shared" si="107"/>
        <v>356.06562499999995</v>
      </c>
      <c r="P190" s="151">
        <f t="shared" si="107"/>
        <v>358.20703124999994</v>
      </c>
      <c r="Q190" s="151">
        <f t="shared" si="107"/>
        <v>356.3837890625</v>
      </c>
      <c r="R190" s="117"/>
      <c r="S190" s="117"/>
      <c r="T190" s="117"/>
      <c r="U190" s="118"/>
      <c r="V190" s="192"/>
      <c r="W190" s="192"/>
      <c r="X190" s="111"/>
      <c r="Y190" s="111"/>
      <c r="Z190" s="111"/>
      <c r="AA190" s="111"/>
      <c r="AB190" s="117"/>
      <c r="AC190" s="120"/>
    </row>
    <row r="191" spans="1:29" ht="15" outlineLevel="1" x14ac:dyDescent="0.15">
      <c r="A191" s="223" t="s">
        <v>289</v>
      </c>
      <c r="B191" s="140"/>
      <c r="C191" s="255">
        <v>1658.4</v>
      </c>
      <c r="D191" s="255">
        <v>1657.8</v>
      </c>
      <c r="E191" s="255">
        <v>1674.6</v>
      </c>
      <c r="F191" s="255">
        <v>1623.8</v>
      </c>
      <c r="G191" s="255">
        <v>1595</v>
      </c>
      <c r="H191" s="255">
        <v>1594.8</v>
      </c>
      <c r="I191" s="255">
        <v>1599.7</v>
      </c>
      <c r="J191" s="255">
        <v>1663.9</v>
      </c>
      <c r="K191" s="255">
        <v>1790.9</v>
      </c>
      <c r="L191" s="255">
        <v>1750.4</v>
      </c>
      <c r="M191" s="133">
        <f>M192*M11</f>
        <v>1806.2301599999998</v>
      </c>
      <c r="N191" s="133">
        <f>N192*N11</f>
        <v>2082.2030352000002</v>
      </c>
      <c r="O191" s="133">
        <f>O192*O11</f>
        <v>2147.9006402639998</v>
      </c>
      <c r="P191" s="133">
        <f>P192*P11</f>
        <v>2167.6799066666399</v>
      </c>
      <c r="Q191" s="133">
        <f>Q192*Q11</f>
        <v>2172.3934282106184</v>
      </c>
      <c r="R191" s="117"/>
      <c r="S191" s="117"/>
      <c r="T191" s="117"/>
      <c r="U191" s="118"/>
      <c r="V191" s="192"/>
      <c r="W191" s="192"/>
      <c r="X191" s="111"/>
      <c r="Y191" s="111"/>
      <c r="Z191" s="111"/>
      <c r="AA191" s="111"/>
      <c r="AB191" s="117"/>
      <c r="AC191" s="120"/>
    </row>
    <row r="192" spans="1:29" ht="15" outlineLevel="1" x14ac:dyDescent="0.15">
      <c r="A192" s="497" t="s">
        <v>529</v>
      </c>
      <c r="B192" s="140"/>
      <c r="C192" s="303">
        <f t="shared" ref="C192:L192" si="108">C191/C11</f>
        <v>0.21750363948745527</v>
      </c>
      <c r="D192" s="303">
        <f t="shared" si="108"/>
        <v>0.21261478479454163</v>
      </c>
      <c r="E192" s="303">
        <f t="shared" si="108"/>
        <v>0.20719093338612293</v>
      </c>
      <c r="F192" s="303">
        <f t="shared" si="108"/>
        <v>0.19428790217404307</v>
      </c>
      <c r="G192" s="303">
        <f t="shared" si="108"/>
        <v>0.18552767793790928</v>
      </c>
      <c r="H192" s="303">
        <f t="shared" si="108"/>
        <v>0.17747409888605734</v>
      </c>
      <c r="I192" s="303">
        <f t="shared" si="108"/>
        <v>0.17080592807721875</v>
      </c>
      <c r="J192" s="303">
        <f t="shared" si="108"/>
        <v>0.17742399846450774</v>
      </c>
      <c r="K192" s="303">
        <f t="shared" si="108"/>
        <v>0.18889357662693809</v>
      </c>
      <c r="L192" s="303">
        <f t="shared" si="108"/>
        <v>0.18188997651557662</v>
      </c>
      <c r="M192" s="431">
        <v>0.18</v>
      </c>
      <c r="N192" s="431">
        <v>0.18</v>
      </c>
      <c r="O192" s="431">
        <v>0.18</v>
      </c>
      <c r="P192" s="431">
        <v>0.18</v>
      </c>
      <c r="Q192" s="431">
        <v>0.18</v>
      </c>
      <c r="R192" s="117"/>
      <c r="S192" s="117"/>
      <c r="T192" s="117"/>
      <c r="U192" s="118"/>
      <c r="V192" s="192"/>
      <c r="W192" s="192"/>
      <c r="X192" s="111"/>
      <c r="Y192" s="111"/>
      <c r="Z192" s="111"/>
      <c r="AA192" s="111"/>
      <c r="AB192" s="117"/>
      <c r="AC192" s="120"/>
    </row>
    <row r="193" spans="1:29" outlineLevel="1" x14ac:dyDescent="0.15">
      <c r="A193" s="497"/>
      <c r="B193" s="140"/>
      <c r="C193" s="303"/>
      <c r="D193" s="303"/>
      <c r="E193" s="303"/>
      <c r="F193" s="303"/>
      <c r="G193" s="303"/>
      <c r="H193" s="303"/>
      <c r="I193" s="303"/>
      <c r="J193" s="303"/>
      <c r="K193" s="303"/>
      <c r="L193" s="303"/>
      <c r="M193" s="431"/>
      <c r="N193" s="431"/>
      <c r="O193" s="431"/>
      <c r="P193" s="431"/>
      <c r="Q193" s="431"/>
      <c r="R193" s="117"/>
      <c r="S193" s="117"/>
      <c r="T193" s="117"/>
      <c r="U193" s="118"/>
      <c r="V193" s="192"/>
      <c r="W193" s="192"/>
      <c r="X193" s="111"/>
      <c r="Y193" s="111"/>
      <c r="Z193" s="111"/>
      <c r="AA193" s="111"/>
      <c r="AB193" s="117"/>
      <c r="AC193" s="120"/>
    </row>
    <row r="194" spans="1:29" ht="15" outlineLevel="1" x14ac:dyDescent="0.15">
      <c r="A194" s="223" t="s">
        <v>290</v>
      </c>
      <c r="B194" s="140"/>
      <c r="C194" s="255">
        <v>0</v>
      </c>
      <c r="D194" s="255">
        <v>0</v>
      </c>
      <c r="E194" s="255">
        <v>6</v>
      </c>
      <c r="F194" s="255">
        <v>20.6</v>
      </c>
      <c r="G194" s="255">
        <v>2.9</v>
      </c>
      <c r="H194" s="255">
        <v>24</v>
      </c>
      <c r="I194" s="255">
        <v>256.7</v>
      </c>
      <c r="J194" s="255">
        <v>0</v>
      </c>
      <c r="K194" s="255">
        <v>159.1</v>
      </c>
      <c r="L194" s="255">
        <v>190.9</v>
      </c>
      <c r="M194" s="151">
        <f t="shared" ref="M194:M200" si="109">AVERAGE(I194:L194)</f>
        <v>151.67499999999998</v>
      </c>
      <c r="N194" s="151">
        <f t="shared" si="107"/>
        <v>125.41874999999999</v>
      </c>
      <c r="O194" s="151">
        <f t="shared" si="107"/>
        <v>156.7734375</v>
      </c>
      <c r="P194" s="151">
        <f t="shared" si="107"/>
        <v>156.19179687499999</v>
      </c>
      <c r="Q194" s="151">
        <f t="shared" si="107"/>
        <v>147.51474609375001</v>
      </c>
      <c r="R194" s="117"/>
      <c r="S194" s="117"/>
      <c r="T194" s="117"/>
      <c r="U194" s="118"/>
      <c r="V194" s="192"/>
      <c r="W194" s="192"/>
      <c r="X194" s="111"/>
      <c r="Y194" s="111"/>
      <c r="Z194" s="111"/>
      <c r="AA194" s="111"/>
      <c r="AB194" s="117"/>
      <c r="AC194" s="120"/>
    </row>
    <row r="195" spans="1:29" ht="15" outlineLevel="1" x14ac:dyDescent="0.15">
      <c r="A195" s="223" t="s">
        <v>291</v>
      </c>
      <c r="B195" s="140"/>
      <c r="C195" s="255">
        <v>144.30000000000001</v>
      </c>
      <c r="D195" s="255">
        <v>62</v>
      </c>
      <c r="E195" s="255">
        <v>91.8</v>
      </c>
      <c r="F195" s="255">
        <v>130.30000000000001</v>
      </c>
      <c r="G195" s="255">
        <v>199</v>
      </c>
      <c r="H195" s="255">
        <v>0</v>
      </c>
      <c r="I195" s="255">
        <v>95.4</v>
      </c>
      <c r="J195" s="255">
        <v>416.1</v>
      </c>
      <c r="K195" s="255">
        <v>458.4</v>
      </c>
      <c r="L195" s="255">
        <v>25.2</v>
      </c>
      <c r="M195" s="151">
        <v>25</v>
      </c>
      <c r="N195" s="151">
        <f>M195</f>
        <v>25</v>
      </c>
      <c r="O195" s="151">
        <f>N195</f>
        <v>25</v>
      </c>
      <c r="P195" s="151">
        <f t="shared" ref="P195:Q195" si="110">O195</f>
        <v>25</v>
      </c>
      <c r="Q195" s="151">
        <f t="shared" si="110"/>
        <v>25</v>
      </c>
      <c r="R195" s="117"/>
      <c r="S195" s="117"/>
      <c r="T195" s="117"/>
      <c r="U195" s="118"/>
      <c r="V195" s="192"/>
      <c r="W195" s="192"/>
      <c r="X195" s="111"/>
      <c r="Y195" s="111"/>
      <c r="Z195" s="111"/>
      <c r="AA195" s="111"/>
      <c r="AB195" s="117"/>
      <c r="AC195" s="120"/>
    </row>
    <row r="196" spans="1:29" outlineLevel="1" x14ac:dyDescent="0.15">
      <c r="A196" s="221" t="s">
        <v>119</v>
      </c>
      <c r="B196" s="140">
        <f>CHOOSE(IF($B$1=2,2,1),'GAAP-IFRS'!E39,IF('Broker Actual'!E39="-",'GAAP-IFRS'!E39,'Broker Actual'!E39))</f>
        <v>455.8</v>
      </c>
      <c r="C196" s="140">
        <f>CHOOSE(IF($B$1=2,2,1),'GAAP-IFRS'!F39,IF('Broker Actual'!F39="-",'GAAP-IFRS'!F39,'Broker Actual'!F39))</f>
        <v>76.5</v>
      </c>
      <c r="D196" s="140">
        <f>CHOOSE(IF($B$1=2,2,1),'GAAP-IFRS'!G39,IF('Broker Actual'!G39="-",'GAAP-IFRS'!G39,'Broker Actual'!G39))</f>
        <v>151.9</v>
      </c>
      <c r="E196" s="140">
        <f>CHOOSE(IF($B$1=2,2,1),'GAAP-IFRS'!H39,IF('Broker Actual'!H39="-",'GAAP-IFRS'!H39,'Broker Actual'!H39))</f>
        <v>352</v>
      </c>
      <c r="F196" s="140">
        <f>CHOOSE(IF($B$1=2,2,1),'GAAP-IFRS'!I39,IF('Broker Actual'!I39="-",'GAAP-IFRS'!I39,'Broker Actual'!I39))</f>
        <v>0</v>
      </c>
      <c r="G196" s="140">
        <f>CHOOSE(IF($B$1=2,2,1),'GAAP-IFRS'!J39,IF('Broker Actual'!J39="-",'GAAP-IFRS'!J39,'Broker Actual'!J39))</f>
        <v>199.9</v>
      </c>
      <c r="H196" s="140">
        <f>CHOOSE(IF($B$1=2,2,1),'GAAP-IFRS'!K39,IF('Broker Actual'!K39="-",'GAAP-IFRS'!K39,'Broker Actual'!K39))</f>
        <v>0</v>
      </c>
      <c r="I196" s="140">
        <f>CHOOSE(IF($B$1=2,2,1),'GAAP-IFRS'!L39,IF('Broker Actual'!L39="-",'GAAP-IFRS'!L39,'Broker Actual'!L39))</f>
        <v>426.3</v>
      </c>
      <c r="J196" s="140">
        <f>CHOOSE(IF($B$1=2,2,1),'GAAP-IFRS'!M39,IF('Broker Actual'!M39="-",'GAAP-IFRS'!M39,'Broker Actual'!M39))</f>
        <v>25.4</v>
      </c>
      <c r="K196" s="140">
        <f>CHOOSE(IF($B$1=2,2,1),'GAAP-IFRS'!N39,IF('Broker Actual'!N39="-",'GAAP-IFRS'!N39,'Broker Actual'!N39))</f>
        <v>22.6</v>
      </c>
      <c r="L196" s="140">
        <f>CHOOSE(IF($B$1=2,2,1),'GAAP-IFRS'!O39,IF('Broker Actual'!O39="-",'GAAP-IFRS'!O39,'Broker Actual'!O39))</f>
        <v>20.2</v>
      </c>
      <c r="M196" s="133">
        <v>40</v>
      </c>
      <c r="N196" s="133">
        <f t="shared" si="107"/>
        <v>27.05</v>
      </c>
      <c r="O196" s="133">
        <f t="shared" si="107"/>
        <v>27.462499999999999</v>
      </c>
      <c r="P196" s="133">
        <f t="shared" si="107"/>
        <v>28.678125000000001</v>
      </c>
      <c r="Q196" s="133">
        <f t="shared" si="107"/>
        <v>30.797656249999996</v>
      </c>
      <c r="R196" s="117"/>
      <c r="S196" s="117"/>
      <c r="T196" s="117"/>
      <c r="U196" s="118"/>
      <c r="V196" s="192"/>
      <c r="W196" s="192"/>
      <c r="X196" s="111"/>
      <c r="Y196" s="111"/>
      <c r="Z196" s="111"/>
      <c r="AA196" s="111"/>
      <c r="AB196" s="117"/>
      <c r="AC196" s="120"/>
    </row>
    <row r="197" spans="1:29" outlineLevel="1" x14ac:dyDescent="0.15">
      <c r="A197" s="221" t="s">
        <v>120</v>
      </c>
      <c r="B197" s="140">
        <f>CHOOSE(IF($B$1=2,2,1),'GAAP-IFRS'!E40,IF('Broker Actual'!E40="-",'GAAP-IFRS'!E40,'Broker Actual'!E40))</f>
        <v>2755.4</v>
      </c>
      <c r="C197" s="140">
        <f>CHOOSE(IF($B$1=2,2,1),'GAAP-IFRS'!F40,IF('Broker Actual'!F40="-",'GAAP-IFRS'!F40,'Broker Actual'!F40))</f>
        <v>2612</v>
      </c>
      <c r="D197" s="140">
        <f>CHOOSE(IF($B$1=2,2,1),'GAAP-IFRS'!G40,IF('Broker Actual'!G40="-",'GAAP-IFRS'!G40,'Broker Actual'!G40))</f>
        <v>2628.7</v>
      </c>
      <c r="E197" s="140">
        <f>CHOOSE(IF($B$1=2,2,1),'GAAP-IFRS'!H40,IF('Broker Actual'!H40="-",'GAAP-IFRS'!H40,'Broker Actual'!H40))</f>
        <v>2449.4</v>
      </c>
      <c r="F197" s="140">
        <f>CHOOSE(IF($B$1=2,2,1),'GAAP-IFRS'!I40,IF('Broker Actual'!I40="-",'GAAP-IFRS'!I40,'Broker Actual'!I40))</f>
        <v>2999.4</v>
      </c>
      <c r="G197" s="140">
        <f>CHOOSE(IF($B$1=2,2,1),'GAAP-IFRS'!J40,IF('Broker Actual'!J40="-",'GAAP-IFRS'!J40,'Broker Actual'!J40))</f>
        <v>2738.4</v>
      </c>
      <c r="H197" s="140">
        <f>CHOOSE(IF($B$1=2,2,1),'GAAP-IFRS'!K40,IF('Broker Actual'!K40="-",'GAAP-IFRS'!K40,'Broker Actual'!K40))</f>
        <v>2971.3</v>
      </c>
      <c r="I197" s="140">
        <f>CHOOSE(IF($B$1=2,2,1),'GAAP-IFRS'!L40,IF('Broker Actual'!L40="-",'GAAP-IFRS'!L40,'Broker Actual'!L40))</f>
        <v>3015</v>
      </c>
      <c r="J197" s="140">
        <f>CHOOSE(IF($B$1=2,2,1),'GAAP-IFRS'!M40,IF('Broker Actual'!M40="-",'GAAP-IFRS'!M40,'Broker Actual'!M40))</f>
        <v>3426.2</v>
      </c>
      <c r="K197" s="140">
        <f>CHOOSE(IF($B$1=2,2,1),'GAAP-IFRS'!N40,IF('Broker Actual'!N40="-",'GAAP-IFRS'!N40,'Broker Actual'!N40))</f>
        <v>3502.2</v>
      </c>
      <c r="L197" s="140">
        <f>CHOOSE(IF($B$1=2,2,1),'GAAP-IFRS'!O40,IF('Broker Actual'!O40="-",'GAAP-IFRS'!O40,'Broker Actual'!O40))</f>
        <v>3477.5</v>
      </c>
      <c r="M197" s="133">
        <f>M198*M176</f>
        <v>3131.5307780249632</v>
      </c>
      <c r="N197" s="133">
        <f t="shared" ref="N197:Q197" si="111">N198*N176</f>
        <v>3306.6894690175745</v>
      </c>
      <c r="O197" s="133">
        <f t="shared" si="111"/>
        <v>3423.8804597541202</v>
      </c>
      <c r="P197" s="133">
        <f t="shared" si="111"/>
        <v>3525.26139342536</v>
      </c>
      <c r="Q197" s="133">
        <f t="shared" si="111"/>
        <v>3623.6383193062984</v>
      </c>
      <c r="R197" s="117"/>
      <c r="S197" s="117"/>
      <c r="T197" s="117"/>
      <c r="U197" s="118"/>
      <c r="V197" s="192"/>
      <c r="W197" s="192"/>
      <c r="X197" s="111"/>
      <c r="Y197" s="111"/>
      <c r="Z197" s="111"/>
      <c r="AA197" s="111"/>
      <c r="AB197" s="117"/>
      <c r="AC197" s="120"/>
    </row>
    <row r="198" spans="1:29" outlineLevel="1" x14ac:dyDescent="0.15">
      <c r="A198" s="498" t="s">
        <v>593</v>
      </c>
      <c r="B198" s="140"/>
      <c r="C198" s="300">
        <f>C197/C176</f>
        <v>4.4494867418241532E-2</v>
      </c>
      <c r="D198" s="300">
        <f t="shared" ref="D198:L198" si="112">D197/D176</f>
        <v>4.2567214160679205E-2</v>
      </c>
      <c r="E198" s="300">
        <f t="shared" si="112"/>
        <v>4.0918263705129236E-2</v>
      </c>
      <c r="F198" s="300">
        <f t="shared" si="112"/>
        <v>4.8971235073030715E-2</v>
      </c>
      <c r="G198" s="300">
        <f t="shared" si="112"/>
        <v>4.3244950491922375E-2</v>
      </c>
      <c r="H198" s="300">
        <f t="shared" si="112"/>
        <v>4.8562556182070775E-2</v>
      </c>
      <c r="I198" s="300">
        <f t="shared" si="112"/>
        <v>4.5386803956103512E-2</v>
      </c>
      <c r="J198" s="300">
        <f t="shared" si="112"/>
        <v>4.8877774179604629E-2</v>
      </c>
      <c r="K198" s="300">
        <f t="shared" si="112"/>
        <v>5.0346453523475457E-2</v>
      </c>
      <c r="L198" s="300">
        <f t="shared" si="112"/>
        <v>5.7411773251974538E-2</v>
      </c>
      <c r="M198" s="431">
        <v>0.05</v>
      </c>
      <c r="N198" s="431">
        <v>0.05</v>
      </c>
      <c r="O198" s="431">
        <v>0.05</v>
      </c>
      <c r="P198" s="431">
        <v>0.05</v>
      </c>
      <c r="Q198" s="431">
        <v>0.05</v>
      </c>
      <c r="R198" s="117"/>
      <c r="S198" s="117"/>
      <c r="T198" s="117"/>
      <c r="U198" s="118"/>
      <c r="V198" s="192"/>
      <c r="W198" s="192"/>
      <c r="X198" s="111"/>
      <c r="Y198" s="111"/>
      <c r="Z198" s="111"/>
      <c r="AA198" s="111"/>
      <c r="AB198" s="117"/>
      <c r="AC198" s="120"/>
    </row>
    <row r="199" spans="1:29" outlineLevel="1" x14ac:dyDescent="0.15">
      <c r="A199" s="221"/>
      <c r="B199" s="140"/>
      <c r="C199" s="140"/>
      <c r="D199" s="140"/>
      <c r="E199" s="140"/>
      <c r="F199" s="140"/>
      <c r="G199" s="140"/>
      <c r="H199" s="140"/>
      <c r="I199" s="140"/>
      <c r="J199" s="140"/>
      <c r="K199" s="140"/>
      <c r="L199" s="140"/>
      <c r="M199" s="151"/>
      <c r="N199" s="151"/>
      <c r="O199" s="151"/>
      <c r="P199" s="151"/>
      <c r="Q199" s="151"/>
      <c r="R199" s="117"/>
      <c r="S199" s="117"/>
      <c r="T199" s="117"/>
      <c r="U199" s="118"/>
      <c r="V199" s="192"/>
      <c r="W199" s="192"/>
      <c r="X199" s="111"/>
      <c r="Y199" s="111"/>
      <c r="Z199" s="111"/>
      <c r="AA199" s="111"/>
      <c r="AB199" s="117"/>
      <c r="AC199" s="120"/>
    </row>
    <row r="200" spans="1:29" ht="15" outlineLevel="1" x14ac:dyDescent="0.15">
      <c r="A200" s="223" t="s">
        <v>292</v>
      </c>
      <c r="B200" s="140"/>
      <c r="C200" s="255">
        <v>1229.4000000000001</v>
      </c>
      <c r="D200" s="255">
        <v>1572.6</v>
      </c>
      <c r="E200" s="255">
        <v>1916.5</v>
      </c>
      <c r="F200" s="255">
        <v>2081.9</v>
      </c>
      <c r="G200" s="255">
        <v>2123.1</v>
      </c>
      <c r="H200" s="255">
        <v>1762.8</v>
      </c>
      <c r="I200" s="255">
        <v>1880.5</v>
      </c>
      <c r="J200" s="255">
        <v>2471.4</v>
      </c>
      <c r="K200" s="255">
        <v>2585.9</v>
      </c>
      <c r="L200" s="255">
        <v>2334.4</v>
      </c>
      <c r="M200" s="151">
        <f t="shared" si="109"/>
        <v>2318.0499999999997</v>
      </c>
      <c r="N200" s="151">
        <f t="shared" si="107"/>
        <v>2427.4375</v>
      </c>
      <c r="O200" s="151">
        <f t="shared" si="107"/>
        <v>2416.4468750000001</v>
      </c>
      <c r="P200" s="151">
        <f t="shared" si="107"/>
        <v>2374.0835937500001</v>
      </c>
      <c r="Q200" s="151">
        <f t="shared" si="107"/>
        <v>2384.0044921874996</v>
      </c>
      <c r="R200" s="117"/>
      <c r="S200" s="117"/>
      <c r="T200" s="117"/>
      <c r="U200" s="118"/>
      <c r="V200" s="192"/>
      <c r="W200" s="192"/>
      <c r="X200" s="111"/>
      <c r="Y200" s="111"/>
      <c r="Z200" s="111"/>
      <c r="AA200" s="111"/>
      <c r="AB200" s="117"/>
      <c r="AC200" s="120"/>
    </row>
    <row r="201" spans="1:29" outlineLevel="1" x14ac:dyDescent="0.15">
      <c r="A201" s="223"/>
      <c r="B201" s="140"/>
      <c r="C201" s="140"/>
      <c r="D201" s="140"/>
      <c r="E201" s="140"/>
      <c r="F201" s="140"/>
      <c r="G201" s="140"/>
      <c r="H201" s="140"/>
      <c r="I201" s="140"/>
      <c r="J201" s="140"/>
      <c r="K201" s="140"/>
      <c r="L201" s="140"/>
      <c r="P201" s="117"/>
      <c r="Q201" s="117"/>
      <c r="R201" s="117"/>
      <c r="S201" s="117"/>
      <c r="T201" s="117"/>
      <c r="U201" s="146"/>
      <c r="V201" s="192"/>
      <c r="W201" s="192"/>
      <c r="X201" s="111"/>
      <c r="Y201" s="111"/>
      <c r="Z201" s="111"/>
      <c r="AA201" s="111"/>
      <c r="AB201" s="145"/>
      <c r="AC201" s="158"/>
    </row>
    <row r="202" spans="1:29" outlineLevel="1" x14ac:dyDescent="0.15">
      <c r="A202" s="221" t="s">
        <v>121</v>
      </c>
      <c r="B202" s="140">
        <f>CHOOSE(IF($B$1=2,2,1),'GAAP-IFRS'!E41,IF('Broker Actual'!E41="-",'GAAP-IFRS'!E41,'Broker Actual'!E41))</f>
        <v>2882.5</v>
      </c>
      <c r="C202" s="140">
        <f>CHOOSE(IF($B$1=2,2,1),'GAAP-IFRS'!F41,IF('Broker Actual'!F41="-",'GAAP-IFRS'!F41,'Broker Actual'!F41))</f>
        <v>2430.25</v>
      </c>
      <c r="D202" s="140">
        <f>CHOOSE(IF($B$1=2,2,1),'GAAP-IFRS'!G41,IF('Broker Actual'!G41="-",'GAAP-IFRS'!G41,'Broker Actual'!G41))</f>
        <v>2505.4499999999998</v>
      </c>
      <c r="E202" s="140">
        <f>CHOOSE(IF($B$1=2,2,1),'GAAP-IFRS'!H41,IF('Broker Actual'!H41="-",'GAAP-IFRS'!H41,'Broker Actual'!H41))</f>
        <v>2827.5</v>
      </c>
      <c r="F202" s="140">
        <f>CHOOSE(IF($B$1=2,2,1),'GAAP-IFRS'!I41,IF('Broker Actual'!I41="-",'GAAP-IFRS'!I41,'Broker Actual'!I41))</f>
        <v>2999</v>
      </c>
      <c r="G202" s="140">
        <f>CHOOSE(IF($B$1=2,2,1),'GAAP-IFRS'!J41,IF('Broker Actual'!J41="-",'GAAP-IFRS'!J41,'Broker Actual'!J41))</f>
        <v>2938.3</v>
      </c>
      <c r="H202" s="140">
        <f>CHOOSE(IF($B$1=2,2,1),'GAAP-IFRS'!K41,IF('Broker Actual'!K41="-",'GAAP-IFRS'!K41,'Broker Actual'!K41))</f>
        <v>2971.3</v>
      </c>
      <c r="I202" s="140">
        <f>CHOOSE(IF($B$1=2,2,1),'GAAP-IFRS'!L41,IF('Broker Actual'!L41="-",'GAAP-IFRS'!L41,'Broker Actual'!L41))</f>
        <v>3441.3</v>
      </c>
      <c r="J202" s="140">
        <f>CHOOSE(IF($B$1=2,2,1),'GAAP-IFRS'!M41,IF('Broker Actual'!M41="-",'GAAP-IFRS'!M41,'Broker Actual'!M41))</f>
        <v>3451.6</v>
      </c>
      <c r="K202" s="140">
        <f>CHOOSE(IF($B$1=2,2,1),'GAAP-IFRS'!N41,IF('Broker Actual'!N41="-",'GAAP-IFRS'!N41,'Broker Actual'!N41))</f>
        <v>3524.8</v>
      </c>
      <c r="L202" s="140">
        <f>CHOOSE(IF($B$1=2,2,1),'GAAP-IFRS'!O41,IF('Broker Actual'!O41="-",'GAAP-IFRS'!O41,'Broker Actual'!O41))</f>
        <v>3497.7</v>
      </c>
      <c r="M202" s="139">
        <f>M197+M196</f>
        <v>3171.5307780249632</v>
      </c>
      <c r="N202" s="139">
        <f t="shared" ref="N202:Q202" si="113">N197+N196</f>
        <v>3333.7394690175747</v>
      </c>
      <c r="O202" s="139">
        <f t="shared" si="113"/>
        <v>3451.3429597541203</v>
      </c>
      <c r="P202" s="139">
        <f t="shared" si="113"/>
        <v>3553.9395184253599</v>
      </c>
      <c r="Q202" s="139">
        <f t="shared" si="113"/>
        <v>3654.4359755562982</v>
      </c>
      <c r="R202" s="117"/>
      <c r="S202" s="117"/>
      <c r="T202" s="117"/>
      <c r="U202" s="118"/>
      <c r="V202" s="192"/>
      <c r="W202" s="192"/>
      <c r="X202" s="111"/>
      <c r="Y202" s="111"/>
      <c r="Z202" s="111"/>
      <c r="AA202" s="111"/>
      <c r="AB202" s="117"/>
      <c r="AC202" s="120"/>
    </row>
    <row r="203" spans="1:29" outlineLevel="1" x14ac:dyDescent="0.15">
      <c r="A203" s="498" t="s">
        <v>528</v>
      </c>
      <c r="B203" s="140"/>
      <c r="C203" s="138">
        <f>C202/C176</f>
        <v>4.1398794618369636E-2</v>
      </c>
      <c r="D203" s="138">
        <f t="shared" ref="D203:Q203" si="114">D202/D176</f>
        <v>4.0571395259586002E-2</v>
      </c>
      <c r="E203" s="138">
        <f t="shared" si="114"/>
        <v>4.7234584235426195E-2</v>
      </c>
      <c r="F203" s="138">
        <f t="shared" si="114"/>
        <v>4.896470426886014E-2</v>
      </c>
      <c r="G203" s="138">
        <f t="shared" si="114"/>
        <v>4.6401781343271803E-2</v>
      </c>
      <c r="H203" s="138">
        <f t="shared" si="114"/>
        <v>4.8562556182070775E-2</v>
      </c>
      <c r="I203" s="138">
        <f t="shared" si="114"/>
        <v>5.1804181908503819E-2</v>
      </c>
      <c r="J203" s="138">
        <f t="shared" si="114"/>
        <v>4.9240127651136348E-2</v>
      </c>
      <c r="K203" s="138">
        <f t="shared" si="114"/>
        <v>5.0671343549639175E-2</v>
      </c>
      <c r="L203" s="138">
        <f t="shared" si="114"/>
        <v>5.7745265076471985E-2</v>
      </c>
      <c r="M203" s="138">
        <f t="shared" si="114"/>
        <v>5.0638665286011145E-2</v>
      </c>
      <c r="N203" s="138">
        <f t="shared" si="114"/>
        <v>5.0409019356874127E-2</v>
      </c>
      <c r="O203" s="138">
        <f t="shared" si="114"/>
        <v>5.0401043499076661E-2</v>
      </c>
      <c r="P203" s="138">
        <f t="shared" si="114"/>
        <v>5.0406751752557773E-2</v>
      </c>
      <c r="Q203" s="138">
        <f t="shared" si="114"/>
        <v>5.0424954886997331E-2</v>
      </c>
      <c r="R203" s="117"/>
      <c r="S203" s="117"/>
      <c r="T203" s="117"/>
      <c r="U203" s="118"/>
      <c r="V203" s="192"/>
      <c r="W203" s="192"/>
      <c r="X203" s="111"/>
      <c r="Y203" s="111"/>
      <c r="Z203" s="111"/>
      <c r="AA203" s="111"/>
      <c r="AB203" s="117"/>
      <c r="AC203" s="120"/>
    </row>
    <row r="204" spans="1:29" outlineLevel="1" x14ac:dyDescent="0.15">
      <c r="A204" s="223"/>
      <c r="B204" s="140"/>
      <c r="C204" s="140"/>
      <c r="D204" s="140"/>
      <c r="E204" s="140"/>
      <c r="F204" s="140"/>
      <c r="G204" s="140"/>
      <c r="H204" s="140"/>
      <c r="I204" s="140"/>
      <c r="J204" s="140"/>
      <c r="K204" s="140"/>
      <c r="L204" s="140"/>
      <c r="R204" s="117"/>
      <c r="S204" s="117"/>
      <c r="T204" s="117"/>
      <c r="U204" s="146"/>
      <c r="V204" s="192"/>
      <c r="W204" s="192"/>
      <c r="X204" s="111"/>
      <c r="Y204" s="111"/>
      <c r="Z204" s="111"/>
      <c r="AA204" s="111"/>
      <c r="AB204" s="145"/>
      <c r="AC204" s="158"/>
    </row>
    <row r="205" spans="1:29" ht="15" outlineLevel="1" x14ac:dyDescent="0.15">
      <c r="A205" s="223" t="s">
        <v>293</v>
      </c>
      <c r="B205" s="140"/>
      <c r="C205" s="142">
        <f t="shared" ref="C205:L205" si="115">SUM(C184:C200)</f>
        <v>50750.612733617811</v>
      </c>
      <c r="D205" s="142">
        <f t="shared" si="115"/>
        <v>53934.641815662326</v>
      </c>
      <c r="E205" s="142">
        <f t="shared" si="115"/>
        <v>51905.518880255193</v>
      </c>
      <c r="F205" s="142">
        <f t="shared" si="115"/>
        <v>52979.217707849224</v>
      </c>
      <c r="G205" s="142">
        <f t="shared" si="115"/>
        <v>54443.919787040271</v>
      </c>
      <c r="H205" s="142">
        <f t="shared" si="115"/>
        <v>53259.204879534642</v>
      </c>
      <c r="I205" s="142">
        <f t="shared" si="115"/>
        <v>57168.604225532923</v>
      </c>
      <c r="J205" s="142">
        <f t="shared" si="115"/>
        <v>59866.41871494802</v>
      </c>
      <c r="K205" s="142">
        <f t="shared" si="115"/>
        <v>58787.304001131299</v>
      </c>
      <c r="L205" s="142">
        <f t="shared" si="115"/>
        <v>52486.2444620881</v>
      </c>
      <c r="M205" s="142">
        <f t="shared" ref="M205:Q205" si="116">SUM(M184:M200)</f>
        <v>51985.958738024972</v>
      </c>
      <c r="N205" s="142">
        <f t="shared" si="116"/>
        <v>58788.685884617582</v>
      </c>
      <c r="O205" s="142">
        <f t="shared" si="116"/>
        <v>60227.032717202128</v>
      </c>
      <c r="P205" s="142">
        <f t="shared" si="116"/>
        <v>60663.969606966355</v>
      </c>
      <c r="Q205" s="142">
        <f t="shared" si="116"/>
        <v>60761.026184376038</v>
      </c>
      <c r="R205" s="117"/>
      <c r="S205" s="117"/>
      <c r="T205" s="117"/>
      <c r="U205" s="146"/>
      <c r="V205" s="192"/>
      <c r="W205" s="192"/>
      <c r="X205" s="111"/>
      <c r="Y205" s="111"/>
      <c r="Z205" s="111"/>
      <c r="AA205" s="111"/>
      <c r="AB205" s="145"/>
      <c r="AC205" s="158"/>
    </row>
    <row r="206" spans="1:29" outlineLevel="1" x14ac:dyDescent="0.15">
      <c r="A206" s="221"/>
      <c r="B206" s="140"/>
      <c r="C206" s="140"/>
      <c r="D206" s="140"/>
      <c r="E206" s="140"/>
      <c r="F206" s="140"/>
      <c r="G206" s="140"/>
      <c r="H206" s="140"/>
      <c r="I206" s="140"/>
      <c r="J206" s="140"/>
      <c r="K206" s="140"/>
      <c r="L206" s="140"/>
      <c r="P206" s="117"/>
      <c r="Q206" s="117"/>
      <c r="R206" s="117"/>
      <c r="S206" s="117"/>
      <c r="T206" s="117"/>
      <c r="U206" s="191"/>
      <c r="V206" s="192"/>
      <c r="W206" s="192"/>
      <c r="X206" s="111"/>
      <c r="Y206" s="111"/>
      <c r="Z206" s="111"/>
      <c r="AA206" s="111"/>
      <c r="AB206" s="111"/>
      <c r="AC206" s="193"/>
    </row>
    <row r="207" spans="1:29" outlineLevel="2" x14ac:dyDescent="0.15">
      <c r="A207" s="125" t="s">
        <v>284</v>
      </c>
      <c r="B207" s="133" t="e">
        <f>#REF!-B200</f>
        <v>#REF!</v>
      </c>
      <c r="C207" s="134">
        <f t="shared" ref="C207:L207" si="117">C205-C212</f>
        <v>0.26199850691045867</v>
      </c>
      <c r="D207" s="134">
        <f t="shared" si="117"/>
        <v>0.25518199895304861</v>
      </c>
      <c r="E207" s="134">
        <f t="shared" si="117"/>
        <v>0.24810919709125301</v>
      </c>
      <c r="F207" s="134">
        <f t="shared" si="117"/>
        <v>0.24325913724896964</v>
      </c>
      <c r="G207" s="134">
        <f t="shared" si="117"/>
        <v>0.22877262843394419</v>
      </c>
      <c r="H207" s="134">
        <f t="shared" si="117"/>
        <v>0.22603665506903781</v>
      </c>
      <c r="I207" s="134">
        <f t="shared" si="117"/>
        <v>0.21619273203396006</v>
      </c>
      <c r="J207" s="134">
        <f t="shared" si="117"/>
        <v>0.22630177264363738</v>
      </c>
      <c r="K207" s="134">
        <f t="shared" si="117"/>
        <v>0.23924003014690243</v>
      </c>
      <c r="L207" s="134">
        <f t="shared" si="117"/>
        <v>0.23930174976703711</v>
      </c>
      <c r="P207" s="117"/>
      <c r="Q207" s="117"/>
      <c r="R207" s="117"/>
      <c r="S207" s="117"/>
      <c r="T207" s="117"/>
      <c r="U207" s="118"/>
      <c r="V207" s="192"/>
      <c r="W207" s="192"/>
      <c r="X207" s="111"/>
      <c r="Y207" s="111"/>
      <c r="Z207" s="111"/>
      <c r="AA207" s="111"/>
      <c r="AB207" s="117"/>
      <c r="AC207" s="120"/>
    </row>
    <row r="208" spans="1:29" outlineLevel="2" x14ac:dyDescent="0.15">
      <c r="A208" s="128" t="s">
        <v>285</v>
      </c>
      <c r="B208" s="135" t="e">
        <f>B207/B$37</f>
        <v>#REF!</v>
      </c>
      <c r="C208" s="136">
        <f t="shared" ref="C208:L208" si="118">C207/C205</f>
        <v>5.1624698264363564E-6</v>
      </c>
      <c r="D208" s="136">
        <f t="shared" si="118"/>
        <v>4.7313190625277344E-6</v>
      </c>
      <c r="E208" s="136">
        <f t="shared" si="118"/>
        <v>4.7800157371248914E-6</v>
      </c>
      <c r="F208" s="136">
        <f t="shared" si="118"/>
        <v>4.5915954929800556E-6</v>
      </c>
      <c r="G208" s="136">
        <f t="shared" si="118"/>
        <v>4.2019867292582563E-6</v>
      </c>
      <c r="H208" s="136">
        <f t="shared" si="118"/>
        <v>4.244086174029507E-6</v>
      </c>
      <c r="I208" s="136">
        <f t="shared" si="118"/>
        <v>3.7816688891173419E-6</v>
      </c>
      <c r="J208" s="136">
        <f t="shared" si="118"/>
        <v>3.7801120812181166E-6</v>
      </c>
      <c r="K208" s="136">
        <f t="shared" si="118"/>
        <v>4.0695866941320958E-6</v>
      </c>
      <c r="L208" s="136">
        <f t="shared" si="118"/>
        <v>4.5593231563727083E-6</v>
      </c>
      <c r="P208" s="117"/>
      <c r="Q208" s="117"/>
      <c r="R208" s="117"/>
      <c r="S208" s="117"/>
      <c r="T208" s="117"/>
      <c r="U208" s="118"/>
      <c r="V208" s="192"/>
      <c r="W208" s="192"/>
      <c r="X208" s="111"/>
      <c r="Y208" s="111"/>
      <c r="Z208" s="111"/>
      <c r="AA208" s="111"/>
      <c r="AB208" s="117"/>
      <c r="AC208" s="120"/>
    </row>
    <row r="209" spans="1:29" outlineLevel="2" x14ac:dyDescent="0.15">
      <c r="A209" s="128"/>
      <c r="B209" s="135"/>
      <c r="C209" s="136"/>
      <c r="D209" s="136"/>
      <c r="E209" s="136"/>
      <c r="F209" s="136"/>
      <c r="G209" s="136"/>
      <c r="H209" s="136"/>
      <c r="I209" s="136"/>
      <c r="J209" s="136"/>
      <c r="K209" s="136"/>
      <c r="L209" s="136"/>
      <c r="P209" s="117"/>
      <c r="Q209" s="117"/>
      <c r="R209" s="117"/>
      <c r="S209" s="117"/>
      <c r="T209" s="117"/>
      <c r="U209" s="118"/>
      <c r="V209" s="192"/>
      <c r="W209" s="192"/>
      <c r="X209" s="111"/>
      <c r="Y209" s="111"/>
      <c r="Z209" s="111"/>
      <c r="AA209" s="111"/>
      <c r="AB209" s="117"/>
      <c r="AC209" s="120"/>
    </row>
    <row r="210" spans="1:29" outlineLevel="2" x14ac:dyDescent="0.15">
      <c r="A210" s="128" t="s">
        <v>118</v>
      </c>
      <c r="B210" s="135"/>
      <c r="C210" s="286">
        <f>C194+C196+C190+C184+C200</f>
        <v>3230.7</v>
      </c>
      <c r="D210" s="286">
        <f t="shared" ref="D210:K210" si="119">D194+D196+D190+D184+D200</f>
        <v>3650.4</v>
      </c>
      <c r="E210" s="286">
        <f>E194+E196+E190+E184+E200</f>
        <v>4143.3</v>
      </c>
      <c r="F210" s="286">
        <f t="shared" si="119"/>
        <v>3974.1000000000004</v>
      </c>
      <c r="G210" s="286">
        <f t="shared" si="119"/>
        <v>4304.2000000000007</v>
      </c>
      <c r="H210" s="286">
        <f t="shared" si="119"/>
        <v>3845.8</v>
      </c>
      <c r="I210" s="286">
        <f t="shared" si="119"/>
        <v>4672.8999999999996</v>
      </c>
      <c r="J210" s="286">
        <f t="shared" si="119"/>
        <v>4701.5</v>
      </c>
      <c r="K210" s="286">
        <f t="shared" si="119"/>
        <v>5022.8</v>
      </c>
      <c r="L210" s="286">
        <f>L194+L196+L190+L184+L200</f>
        <v>8651.2000000000007</v>
      </c>
      <c r="M210" s="286">
        <f t="shared" ref="M210:Q210" si="120">M194+M196+M190+M184+M200</f>
        <v>6880.1198000000004</v>
      </c>
      <c r="N210" s="286">
        <f t="shared" si="120"/>
        <v>6983.3468739999998</v>
      </c>
      <c r="O210" s="286">
        <f t="shared" si="120"/>
        <v>6775.2384646360006</v>
      </c>
      <c r="P210" s="286">
        <f t="shared" si="120"/>
        <v>6650.3870528008792</v>
      </c>
      <c r="Q210" s="286">
        <f t="shared" si="120"/>
        <v>6539.3563972781139</v>
      </c>
      <c r="R210" s="117"/>
      <c r="S210" s="117"/>
      <c r="T210" s="117"/>
      <c r="U210" s="118"/>
      <c r="V210" s="192"/>
      <c r="W210" s="192"/>
      <c r="X210" s="111"/>
      <c r="Y210" s="111"/>
      <c r="Z210" s="111"/>
      <c r="AA210" s="111"/>
      <c r="AB210" s="117"/>
      <c r="AC210" s="120"/>
    </row>
    <row r="211" spans="1:29" x14ac:dyDescent="0.15">
      <c r="V211" s="192"/>
      <c r="W211" s="192"/>
      <c r="X211" s="111"/>
      <c r="Y211" s="111"/>
      <c r="Z211" s="111"/>
      <c r="AA211" s="111"/>
    </row>
    <row r="212" spans="1:29" outlineLevel="1" x14ac:dyDescent="0.15">
      <c r="A212" s="222" t="s">
        <v>123</v>
      </c>
      <c r="B212" s="140">
        <f>CHOOSE(IF($B$1=2,2,1),'GAAP-IFRS'!E42,IF('Broker Actual'!E42="-",'GAAP-IFRS'!E42,'Broker Actual'!E42))</f>
        <v>49470.2</v>
      </c>
      <c r="C212" s="140">
        <f>CHOOSE(IF($B$1=2,2,1),'GAAP-IFRS'!F42,IF('Broker Actual'!F42="-",'GAAP-IFRS'!F42,'Broker Actual'!F42))</f>
        <v>50750.3507351109</v>
      </c>
      <c r="D212" s="140">
        <f>CHOOSE(IF($B$1=2,2,1),'GAAP-IFRS'!G42,IF('Broker Actual'!G42="-",'GAAP-IFRS'!G42,'Broker Actual'!G42))</f>
        <v>53934.386633663373</v>
      </c>
      <c r="E212" s="140">
        <f>CHOOSE(IF($B$1=2,2,1),'GAAP-IFRS'!H42,IF('Broker Actual'!H42="-",'GAAP-IFRS'!H42,'Broker Actual'!H42))</f>
        <v>51905.270771058102</v>
      </c>
      <c r="F212" s="140">
        <f>CHOOSE(IF($B$1=2,2,1),'GAAP-IFRS'!I42,IF('Broker Actual'!I42="-",'GAAP-IFRS'!I42,'Broker Actual'!I42))</f>
        <v>52978.974448711975</v>
      </c>
      <c r="G212" s="140">
        <f>CHOOSE(IF($B$1=2,2,1),'GAAP-IFRS'!J42,IF('Broker Actual'!J42="-",'GAAP-IFRS'!J42,'Broker Actual'!J42))</f>
        <v>54443.691014411837</v>
      </c>
      <c r="H212" s="140">
        <f>CHOOSE(IF($B$1=2,2,1),'GAAP-IFRS'!K42,IF('Broker Actual'!K42="-",'GAAP-IFRS'!K42,'Broker Actual'!K42))</f>
        <v>53258.978842879573</v>
      </c>
      <c r="I212" s="140">
        <f>CHOOSE(IF($B$1=2,2,1),'GAAP-IFRS'!L42,IF('Broker Actual'!L42="-",'GAAP-IFRS'!L42,'Broker Actual'!L42))</f>
        <v>57168.388032800889</v>
      </c>
      <c r="J212" s="140">
        <f>CHOOSE(IF($B$1=2,2,1),'GAAP-IFRS'!M42,IF('Broker Actual'!M42="-",'GAAP-IFRS'!M42,'Broker Actual'!M42))</f>
        <v>59866.192413175377</v>
      </c>
      <c r="K212" s="140">
        <f>CHOOSE(IF($B$1=2,2,1),'GAAP-IFRS'!N42,IF('Broker Actual'!N42="-",'GAAP-IFRS'!N42,'Broker Actual'!N42))</f>
        <v>58787.064761101152</v>
      </c>
      <c r="L212" s="140">
        <f>CHOOSE(IF($B$1=2,2,1),'GAAP-IFRS'!O42,IF('Broker Actual'!O42="-",'GAAP-IFRS'!O42,'Broker Actual'!O42))</f>
        <v>52486.005160338333</v>
      </c>
      <c r="M212" s="139">
        <f>M205</f>
        <v>51985.958738024972</v>
      </c>
      <c r="N212" s="139">
        <f t="shared" ref="N212:Q212" si="121">N205</f>
        <v>58788.685884617582</v>
      </c>
      <c r="O212" s="139">
        <f t="shared" si="121"/>
        <v>60227.032717202128</v>
      </c>
      <c r="P212" s="139">
        <f t="shared" si="121"/>
        <v>60663.969606966355</v>
      </c>
      <c r="Q212" s="139">
        <f t="shared" si="121"/>
        <v>60761.026184376038</v>
      </c>
      <c r="R212" s="117"/>
      <c r="S212" s="117"/>
      <c r="T212" s="117"/>
      <c r="U212" s="118"/>
      <c r="V212" s="188"/>
      <c r="W212" s="188"/>
      <c r="X212" s="189"/>
      <c r="Y212" s="189"/>
      <c r="Z212" s="189"/>
      <c r="AA212" s="111"/>
      <c r="AB212" s="117"/>
      <c r="AC212" s="120"/>
    </row>
    <row r="213" spans="1:29" outlineLevel="1" x14ac:dyDescent="0.15">
      <c r="A213" s="183"/>
      <c r="B213" s="117"/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P213" s="117"/>
      <c r="Q213" s="117"/>
      <c r="R213" s="117"/>
      <c r="S213" s="117"/>
      <c r="T213" s="117"/>
      <c r="U213" s="146"/>
      <c r="V213" s="188"/>
      <c r="W213" s="188"/>
      <c r="X213" s="189"/>
      <c r="Y213" s="189"/>
      <c r="Z213" s="189"/>
      <c r="AA213" s="111"/>
      <c r="AB213" s="145"/>
      <c r="AC213" s="158"/>
    </row>
    <row r="214" spans="1:29" outlineLevel="1" x14ac:dyDescent="0.15">
      <c r="A214" s="183" t="s">
        <v>124</v>
      </c>
      <c r="B214" s="140">
        <f>CHOOSE(IF($B$1=2,2,1),'GAAP-IFRS'!E44,IF('Broker Actual'!E44="-",'GAAP-IFRS'!E44,'Broker Actual'!E44))</f>
        <v>0</v>
      </c>
      <c r="C214" s="140">
        <f>CHOOSE(IF($B$1=2,2,1),'GAAP-IFRS'!F44,IF('Broker Actual'!F44="-",'GAAP-IFRS'!F44,'Broker Actual'!F44))</f>
        <v>0</v>
      </c>
      <c r="D214" s="140">
        <f>CHOOSE(IF($B$1=2,2,1),'GAAP-IFRS'!G44,IF('Broker Actual'!G44="-",'GAAP-IFRS'!G44,'Broker Actual'!G44))</f>
        <v>0</v>
      </c>
      <c r="E214" s="140">
        <f>CHOOSE(IF($B$1=2,2,1),'GAAP-IFRS'!H44,IF('Broker Actual'!H44="-",'GAAP-IFRS'!H44,'Broker Actual'!H44))</f>
        <v>0</v>
      </c>
      <c r="F214" s="140">
        <f>CHOOSE(IF($B$1=2,2,1),'GAAP-IFRS'!I44,IF('Broker Actual'!I44="-",'GAAP-IFRS'!I44,'Broker Actual'!I44))</f>
        <v>0</v>
      </c>
      <c r="G214" s="140">
        <f>CHOOSE(IF($B$1=2,2,1),'GAAP-IFRS'!J44,IF('Broker Actual'!J44="-",'GAAP-IFRS'!J44,'Broker Actual'!J44))</f>
        <v>0</v>
      </c>
      <c r="H214" s="140">
        <f>CHOOSE(IF($B$1=2,2,1),'GAAP-IFRS'!K44,IF('Broker Actual'!K44="-",'GAAP-IFRS'!K44,'Broker Actual'!K44))</f>
        <v>0</v>
      </c>
      <c r="I214" s="140">
        <f>CHOOSE(IF($B$1=2,2,1),'GAAP-IFRS'!L44,IF('Broker Actual'!L44="-",'GAAP-IFRS'!L44,'Broker Actual'!L44))</f>
        <v>0</v>
      </c>
      <c r="J214" s="140">
        <f>CHOOSE(IF($B$1=2,2,1),'GAAP-IFRS'!M44,IF('Broker Actual'!M44="-",'GAAP-IFRS'!M44,'Broker Actual'!M44))</f>
        <v>0</v>
      </c>
      <c r="K214" s="140">
        <f>CHOOSE(IF($B$1=2,2,1),'GAAP-IFRS'!N44,IF('Broker Actual'!N44="-",'GAAP-IFRS'!N44,'Broker Actual'!N44))</f>
        <v>0</v>
      </c>
      <c r="L214" s="140">
        <f>CHOOSE(IF($B$1=2,2,1),'GAAP-IFRS'!O44,IF('Broker Actual'!O44="-",'GAAP-IFRS'!O44,'Broker Actual'!O44))</f>
        <v>0</v>
      </c>
      <c r="M214" s="139">
        <v>0</v>
      </c>
      <c r="N214" s="139">
        <v>0</v>
      </c>
      <c r="O214" s="139">
        <v>0</v>
      </c>
      <c r="P214" s="139">
        <v>0</v>
      </c>
      <c r="Q214" s="139">
        <v>0</v>
      </c>
      <c r="R214" s="117"/>
      <c r="S214" s="117"/>
      <c r="T214" s="117"/>
      <c r="U214" s="194"/>
      <c r="V214" s="119" t="s">
        <v>78</v>
      </c>
      <c r="W214" s="119" t="s">
        <v>130</v>
      </c>
      <c r="X214" s="117" t="str" cm="1">
        <f t="array" ref="X214">_xll.FDSC("--",$A$1,""&amp;$V214&amp;"("&amp;$W214&amp;","&amp;D$2&amp;",ANNUAL_ROLL,+1,0,,,'CURRENCY="&amp;$E$1&amp;"')")</f>
        <v>--</v>
      </c>
      <c r="Y214" s="117" t="str" cm="1">
        <f t="array" ref="Y214">_xll.FDSC("--",$A$1,""&amp;$V214&amp;"("&amp;$W214&amp;","&amp;D$2&amp;",ANNUAL_ROLL,+2,0,,,'CURRENCY="&amp;$E$1&amp;"')")</f>
        <v>--</v>
      </c>
      <c r="Z214" s="117" t="str" cm="1">
        <f t="array" ref="Z214">_xll.FDSC("--",$A$1,""&amp;$V214&amp;"("&amp;$W214&amp;","&amp;D$2&amp;",ANNUAL_ROLL,+3,0,,,'CURRENCY="&amp;$E$1&amp;"')")</f>
        <v>--</v>
      </c>
      <c r="AA214" s="111"/>
      <c r="AB214" s="117"/>
      <c r="AC214" s="120"/>
    </row>
    <row r="215" spans="1:29" outlineLevel="1" x14ac:dyDescent="0.15">
      <c r="A215" s="183" t="s">
        <v>125</v>
      </c>
      <c r="B215" s="140">
        <f>CHOOSE(IF($B$1=2,2,1),'GAAP-IFRS'!E45,IF('Broker Actual'!E45="-",'GAAP-IFRS'!E45,'Broker Actual'!E45))</f>
        <v>8612.6</v>
      </c>
      <c r="C215" s="140">
        <f>CHOOSE(IF($B$1=2,2,1),'GAAP-IFRS'!F45,IF('Broker Actual'!F45="-",'GAAP-IFRS'!F45,'Broker Actual'!F45))</f>
        <v>8659.1</v>
      </c>
      <c r="D215" s="140">
        <f>CHOOSE(IF($B$1=2,2,1),'GAAP-IFRS'!G45,IF('Broker Actual'!G45="-",'GAAP-IFRS'!G45,'Broker Actual'!G45))</f>
        <v>8552.4</v>
      </c>
      <c r="E215" s="140">
        <f>CHOOSE(IF($B$1=2,2,1),'GAAP-IFRS'!H45,IF('Broker Actual'!H45="-",'GAAP-IFRS'!H45,'Broker Actual'!H45))</f>
        <v>8663.9</v>
      </c>
      <c r="F215" s="140">
        <f>CHOOSE(IF($B$1=2,2,1),'GAAP-IFRS'!I45,IF('Broker Actual'!I45="-",'GAAP-IFRS'!I45,'Broker Actual'!I45))</f>
        <v>8968</v>
      </c>
      <c r="G215" s="140">
        <f>CHOOSE(IF($B$1=2,2,1),'GAAP-IFRS'!J45,IF('Broker Actual'!J45="-",'GAAP-IFRS'!J45,'Broker Actual'!J45))</f>
        <v>9574.9</v>
      </c>
      <c r="H215" s="140">
        <f>CHOOSE(IF($B$1=2,2,1),'GAAP-IFRS'!K45,IF('Broker Actual'!K45="-",'GAAP-IFRS'!K45,'Broker Actual'!K45))</f>
        <v>8621.7999999999993</v>
      </c>
      <c r="I215" s="140">
        <f>CHOOSE(IF($B$1=2,2,1),'GAAP-IFRS'!L45,IF('Broker Actual'!L45="-",'GAAP-IFRS'!L45,'Broker Actual'!L45))</f>
        <v>9965</v>
      </c>
      <c r="J215" s="140">
        <f>CHOOSE(IF($B$1=2,2,1),'GAAP-IFRS'!M45,IF('Broker Actual'!M45="-",'GAAP-IFRS'!M45,'Broker Actual'!M45))</f>
        <v>10871</v>
      </c>
      <c r="K215" s="140">
        <f>CHOOSE(IF($B$1=2,2,1),'GAAP-IFRS'!N45,IF('Broker Actual'!N45="-",'GAAP-IFRS'!N45,'Broker Actual'!N45))</f>
        <v>11239.2</v>
      </c>
      <c r="L215" s="140">
        <f>CHOOSE(IF($B$1=2,2,1),'GAAP-IFRS'!O45,IF('Broker Actual'!O45="-",'GAAP-IFRS'!O45,'Broker Actual'!O45))</f>
        <v>9197.5</v>
      </c>
      <c r="M215" s="139">
        <f>M176-M205</f>
        <v>10644.656822474288</v>
      </c>
      <c r="N215" s="139">
        <f>N176-N205</f>
        <v>7345.103495733907</v>
      </c>
      <c r="O215" s="139">
        <f t="shared" ref="O215:Q215" si="122">O176-O205</f>
        <v>8250.5764778802768</v>
      </c>
      <c r="P215" s="139">
        <f t="shared" si="122"/>
        <v>9841.2582615408392</v>
      </c>
      <c r="Q215" s="139">
        <f t="shared" si="122"/>
        <v>11711.740201749926</v>
      </c>
      <c r="R215" s="117"/>
      <c r="S215" s="117"/>
      <c r="T215" s="117"/>
      <c r="U215" s="118"/>
      <c r="V215" s="119"/>
      <c r="W215" s="119"/>
      <c r="X215" s="117"/>
      <c r="Y215" s="117"/>
      <c r="Z215" s="117"/>
      <c r="AA215" s="111"/>
      <c r="AB215" s="117"/>
      <c r="AC215" s="120"/>
    </row>
    <row r="216" spans="1:29" outlineLevel="1" x14ac:dyDescent="0.15">
      <c r="A216" s="184" t="s">
        <v>531</v>
      </c>
      <c r="B216" s="140"/>
      <c r="C216" s="300">
        <f>C215/C176</f>
        <v>0.14750593662377307</v>
      </c>
      <c r="D216" s="300">
        <f t="shared" ref="D216:Q216" si="123">D215/D176</f>
        <v>0.13849120949054394</v>
      </c>
      <c r="E216" s="300">
        <f t="shared" si="123"/>
        <v>0.14473411648357523</v>
      </c>
      <c r="F216" s="300">
        <f t="shared" si="123"/>
        <v>0.146420629504214</v>
      </c>
      <c r="G216" s="300">
        <f t="shared" si="123"/>
        <v>0.15120730224405035</v>
      </c>
      <c r="H216" s="300">
        <f t="shared" si="123"/>
        <v>0.14091362261992318</v>
      </c>
      <c r="I216" s="300">
        <f t="shared" si="123"/>
        <v>0.15000978488310829</v>
      </c>
      <c r="J216" s="300">
        <f t="shared" si="123"/>
        <v>0.15508443263863231</v>
      </c>
      <c r="K216" s="300">
        <f t="shared" si="123"/>
        <v>0.16157097265748541</v>
      </c>
      <c r="L216" s="300">
        <f t="shared" si="123"/>
        <v>0.15184609187204481</v>
      </c>
      <c r="M216" s="300">
        <f>M215/M176</f>
        <v>0.16995931985039928</v>
      </c>
      <c r="N216" s="300">
        <f t="shared" si="123"/>
        <v>0.11106430713489639</v>
      </c>
      <c r="O216" s="300">
        <f t="shared" si="123"/>
        <v>0.12048575548798186</v>
      </c>
      <c r="P216" s="300">
        <f t="shared" si="123"/>
        <v>0.13958196518270763</v>
      </c>
      <c r="Q216" s="300">
        <f t="shared" si="123"/>
        <v>0.16160194767992184</v>
      </c>
      <c r="R216" s="117"/>
      <c r="S216" s="117"/>
      <c r="T216" s="117"/>
      <c r="U216" s="118"/>
      <c r="V216" s="119"/>
      <c r="W216" s="119"/>
      <c r="X216" s="117"/>
      <c r="Y216" s="117"/>
      <c r="Z216" s="117"/>
      <c r="AA216" s="111"/>
      <c r="AB216" s="117"/>
      <c r="AC216" s="120"/>
    </row>
    <row r="217" spans="1:29" outlineLevel="1" x14ac:dyDescent="0.15">
      <c r="A217" s="184"/>
      <c r="B217" s="140"/>
      <c r="C217" s="300"/>
      <c r="D217" s="300"/>
      <c r="E217" s="300"/>
      <c r="F217" s="300"/>
      <c r="G217" s="300"/>
      <c r="H217" s="300"/>
      <c r="I217" s="300"/>
      <c r="J217" s="300"/>
      <c r="K217" s="300"/>
      <c r="L217" s="300"/>
      <c r="M217" s="300"/>
      <c r="N217" s="300"/>
      <c r="O217" s="300"/>
      <c r="P217" s="300"/>
      <c r="Q217" s="300"/>
      <c r="R217" s="117"/>
      <c r="S217" s="117"/>
      <c r="T217" s="117"/>
      <c r="U217" s="118"/>
      <c r="V217" s="119"/>
      <c r="W217" s="119"/>
      <c r="X217" s="117"/>
      <c r="Y217" s="117"/>
      <c r="Z217" s="117"/>
      <c r="AA217" s="111"/>
      <c r="AB217" s="117"/>
      <c r="AC217" s="120"/>
    </row>
    <row r="218" spans="1:29" outlineLevel="2" x14ac:dyDescent="0.15">
      <c r="A218" s="94" t="s">
        <v>592</v>
      </c>
      <c r="B218" s="494"/>
      <c r="C218" s="495">
        <f t="shared" ref="C218:L218" si="124">C122</f>
        <v>265.94920000000002</v>
      </c>
      <c r="D218" s="495">
        <f t="shared" si="124"/>
        <v>256.65280000000001</v>
      </c>
      <c r="E218" s="495">
        <f t="shared" si="124"/>
        <v>247.85470000000001</v>
      </c>
      <c r="F218" s="495">
        <f t="shared" si="124"/>
        <v>235.97919999999999</v>
      </c>
      <c r="G218" s="495">
        <f t="shared" si="124"/>
        <v>227.33519999999999</v>
      </c>
      <c r="H218" s="495">
        <f t="shared" si="124"/>
        <v>220.05860000000001</v>
      </c>
      <c r="I218" s="495">
        <f t="shared" si="124"/>
        <v>209.8544</v>
      </c>
      <c r="J218" s="495">
        <f t="shared" si="124"/>
        <v>203.75530000000001</v>
      </c>
      <c r="K218" s="495">
        <f t="shared" si="124"/>
        <v>204.84790000000001</v>
      </c>
      <c r="L218" s="495">
        <f t="shared" si="124"/>
        <v>202.10939999999999</v>
      </c>
      <c r="M218" s="496">
        <f>M121</f>
        <v>193.21578885244156</v>
      </c>
      <c r="N218" s="496">
        <f>N121</f>
        <v>181.41461696931708</v>
      </c>
      <c r="O218" s="496">
        <f>O121</f>
        <v>170.05560870573029</v>
      </c>
      <c r="P218" s="496">
        <f>P121</f>
        <v>162.27739139945626</v>
      </c>
      <c r="Q218" s="496">
        <f>Q121</f>
        <v>158.48429316814958</v>
      </c>
      <c r="R218" s="117"/>
      <c r="S218" s="117"/>
      <c r="T218" s="117"/>
      <c r="U218" s="118"/>
      <c r="V218" s="179"/>
      <c r="W218" s="179"/>
      <c r="X218" s="167"/>
      <c r="Y218" s="167"/>
      <c r="Z218" s="167"/>
      <c r="AA218" s="159"/>
      <c r="AB218" s="117"/>
      <c r="AC218" s="120"/>
    </row>
    <row r="219" spans="1:29" ht="34.5" customHeight="1" outlineLevel="1" x14ac:dyDescent="0.15">
      <c r="A219" s="183" t="s">
        <v>543</v>
      </c>
      <c r="B219" s="142"/>
      <c r="C219" s="142">
        <f>C215/C218</f>
        <v>32.559225596467293</v>
      </c>
      <c r="D219" s="142">
        <f t="shared" ref="D219:L219" si="125">D215/D218</f>
        <v>33.322839259887282</v>
      </c>
      <c r="E219" s="142">
        <f t="shared" si="125"/>
        <v>34.955560657110794</v>
      </c>
      <c r="F219" s="142">
        <f t="shared" si="125"/>
        <v>38.003349447747937</v>
      </c>
      <c r="G219" s="142">
        <f t="shared" si="125"/>
        <v>42.117982608940459</v>
      </c>
      <c r="H219" s="142">
        <f t="shared" si="125"/>
        <v>39.179563988864778</v>
      </c>
      <c r="I219" s="142">
        <f t="shared" si="125"/>
        <v>47.485304096554565</v>
      </c>
      <c r="J219" s="142">
        <f t="shared" si="125"/>
        <v>53.353213388805102</v>
      </c>
      <c r="K219" s="142">
        <f t="shared" si="125"/>
        <v>54.86607380402728</v>
      </c>
      <c r="L219" s="142">
        <f t="shared" si="125"/>
        <v>45.507532059369829</v>
      </c>
      <c r="M219" s="139">
        <f>M215/M218</f>
        <v>55.092065124158083</v>
      </c>
      <c r="N219" s="139">
        <f t="shared" ref="N219:Q219" si="126">N215/N218</f>
        <v>40.48793652044143</v>
      </c>
      <c r="O219" s="139">
        <v>74.48</v>
      </c>
      <c r="P219" s="139">
        <f t="shared" si="126"/>
        <v>60.644666374479407</v>
      </c>
      <c r="Q219" s="139">
        <f t="shared" si="126"/>
        <v>73.898428466497535</v>
      </c>
      <c r="R219" s="117"/>
      <c r="S219" s="117"/>
      <c r="T219" s="117"/>
      <c r="U219" s="118"/>
      <c r="V219" s="119"/>
      <c r="W219" s="119"/>
      <c r="X219" s="117"/>
      <c r="Y219" s="117"/>
      <c r="Z219" s="117"/>
      <c r="AA219" s="111"/>
      <c r="AB219" s="117"/>
      <c r="AC219" s="120"/>
    </row>
    <row r="220" spans="1:29" ht="34.5" customHeight="1" outlineLevel="1" x14ac:dyDescent="0.15">
      <c r="A220" s="183"/>
      <c r="B220" s="140"/>
      <c r="C220" s="493"/>
      <c r="D220" s="493"/>
      <c r="E220" s="493"/>
      <c r="F220" s="493"/>
      <c r="G220" s="493"/>
      <c r="H220" s="493"/>
      <c r="I220" s="493"/>
      <c r="J220" s="493"/>
      <c r="K220" s="493"/>
      <c r="L220" s="493"/>
      <c r="M220" s="139"/>
      <c r="N220" s="139"/>
      <c r="O220" s="139"/>
      <c r="P220" s="117"/>
      <c r="Q220" s="117"/>
      <c r="R220" s="117"/>
      <c r="S220" s="117"/>
      <c r="T220" s="117"/>
      <c r="U220" s="118"/>
      <c r="V220" s="119"/>
      <c r="W220" s="119"/>
      <c r="X220" s="117"/>
      <c r="Y220" s="117"/>
      <c r="Z220" s="117"/>
      <c r="AA220" s="111"/>
      <c r="AB220" s="117"/>
      <c r="AC220" s="120"/>
    </row>
    <row r="221" spans="1:29" outlineLevel="1" x14ac:dyDescent="0.15">
      <c r="A221" s="186" t="s">
        <v>127</v>
      </c>
      <c r="B221" s="140">
        <f>CHOOSE(IF($B$1=2,2,1),'GAAP-IFRS'!E46,IF('Broker Actual'!E46="-",'GAAP-IFRS'!E46,'Broker Actual'!E46))</f>
        <v>58082.8</v>
      </c>
      <c r="C221" s="140">
        <f>CHOOSE(IF($B$1=2,2,1),'GAAP-IFRS'!F46,IF('Broker Actual'!F46="-",'GAAP-IFRS'!F46,'Broker Actual'!F46))</f>
        <v>55931.8</v>
      </c>
      <c r="D221" s="140">
        <f>CHOOSE(IF($B$1=2,2,1),'GAAP-IFRS'!G46,IF('Broker Actual'!G46="-",'GAAP-IFRS'!G46,'Broker Actual'!G46))</f>
        <v>59722.2</v>
      </c>
      <c r="E221" s="140">
        <f>CHOOSE(IF($B$1=2,2,1),'GAAP-IFRS'!H46,IF('Broker Actual'!H46="-",'GAAP-IFRS'!H46,'Broker Actual'!H46))</f>
        <v>57158</v>
      </c>
      <c r="F221" s="140">
        <f>CHOOSE(IF($B$1=2,2,1),'GAAP-IFRS'!I46,IF('Broker Actual'!I46="-",'GAAP-IFRS'!I46,'Broker Actual'!I46))</f>
        <v>58698.7</v>
      </c>
      <c r="G221" s="140">
        <f>CHOOSE(IF($B$1=2,2,1),'GAAP-IFRS'!J46,IF('Broker Actual'!J46="-",'GAAP-IFRS'!J46,'Broker Actual'!J46))</f>
        <v>60222.6</v>
      </c>
      <c r="H221" s="140">
        <f>CHOOSE(IF($B$1=2,2,1),'GAAP-IFRS'!K46,IF('Broker Actual'!K46="-",'GAAP-IFRS'!K46,'Broker Actual'!K46))</f>
        <v>57950.6</v>
      </c>
      <c r="I221" s="140">
        <f>CHOOSE(IF($B$1=2,2,1),'GAAP-IFRS'!L46,IF('Broker Actual'!L46="-",'GAAP-IFRS'!L46,'Broker Actual'!L46))</f>
        <v>63580</v>
      </c>
      <c r="J221" s="140">
        <f>CHOOSE(IF($B$1=2,2,1),'GAAP-IFRS'!M46,IF('Broker Actual'!M46="-",'GAAP-IFRS'!M46,'Broker Actual'!M46))</f>
        <v>60683.5</v>
      </c>
      <c r="K221" s="140">
        <f>CHOOSE(IF($B$1=2,2,1),'GAAP-IFRS'!N46,IF('Broker Actual'!N46="-",'GAAP-IFRS'!N46,'Broker Actual'!N46))</f>
        <v>59530.3</v>
      </c>
      <c r="L221" s="140">
        <f>CHOOSE(IF($B$1=2,2,1),'GAAP-IFRS'!O46,IF('Broker Actual'!O46="-",'GAAP-IFRS'!O46,'Broker Actual'!O46))</f>
        <v>50900.5</v>
      </c>
      <c r="M221" s="139">
        <f>M215+M205</f>
        <v>62630.61556049926</v>
      </c>
      <c r="N221" s="139">
        <f>N215+N205</f>
        <v>66133.789380351489</v>
      </c>
      <c r="O221" s="139">
        <f>O215+O205</f>
        <v>68477.609195082405</v>
      </c>
      <c r="P221" s="139">
        <f>P215+P205</f>
        <v>70505.227868507194</v>
      </c>
      <c r="Q221" s="139">
        <f>Q215+Q205</f>
        <v>72472.766386125964</v>
      </c>
      <c r="R221" s="117"/>
      <c r="S221" s="117"/>
      <c r="T221" s="117"/>
      <c r="U221" s="118"/>
      <c r="V221" s="119"/>
      <c r="W221" s="119"/>
      <c r="X221" s="117"/>
      <c r="Y221" s="117"/>
      <c r="Z221" s="117"/>
      <c r="AA221" s="111"/>
      <c r="AB221" s="117"/>
      <c r="AC221" s="120"/>
    </row>
    <row r="222" spans="1:29" ht="34.5" customHeight="1" outlineLevel="1" x14ac:dyDescent="0.15">
      <c r="A222" s="183"/>
      <c r="B222" s="140"/>
      <c r="C222" s="140"/>
      <c r="D222" s="140"/>
      <c r="E222" s="140"/>
      <c r="F222" s="140"/>
      <c r="G222" s="140"/>
      <c r="H222" s="140"/>
      <c r="I222" s="140"/>
      <c r="J222" s="140"/>
      <c r="K222" s="140"/>
      <c r="L222" s="140"/>
      <c r="M222" s="139"/>
      <c r="N222" s="139"/>
      <c r="O222" s="139"/>
      <c r="P222" s="117"/>
      <c r="Q222" s="117"/>
      <c r="R222" s="117"/>
      <c r="S222" s="117"/>
      <c r="T222" s="117"/>
      <c r="U222" s="118"/>
      <c r="V222" s="119"/>
      <c r="W222" s="119"/>
      <c r="X222" s="117"/>
      <c r="Y222" s="117"/>
      <c r="Z222" s="117"/>
      <c r="AA222" s="111"/>
      <c r="AB222" s="117"/>
      <c r="AC222" s="120"/>
    </row>
    <row r="224" spans="1:29" outlineLevel="1" x14ac:dyDescent="0.15">
      <c r="B224" s="140"/>
      <c r="C224" s="140"/>
      <c r="D224" s="140"/>
      <c r="E224" s="140"/>
      <c r="F224" s="140"/>
      <c r="G224" s="140"/>
      <c r="H224" s="140"/>
      <c r="I224" s="140"/>
      <c r="J224" s="140"/>
      <c r="K224" s="140"/>
      <c r="L224" s="140"/>
      <c r="P224" s="117"/>
      <c r="Q224" s="117"/>
      <c r="R224" s="117"/>
      <c r="S224" s="117"/>
      <c r="T224" s="117"/>
      <c r="U224" s="146"/>
      <c r="V224" s="119"/>
      <c r="W224" s="119"/>
      <c r="X224" s="117"/>
      <c r="Y224" s="117"/>
      <c r="Z224" s="117"/>
      <c r="AA224" s="189"/>
      <c r="AB224" s="145"/>
      <c r="AC224" s="158"/>
    </row>
    <row r="225" spans="1:29" outlineLevel="1" x14ac:dyDescent="0.15">
      <c r="B225" s="140"/>
      <c r="C225" s="140"/>
      <c r="D225" s="140"/>
      <c r="E225" s="140"/>
      <c r="F225" s="140"/>
      <c r="G225" s="140"/>
      <c r="H225" s="140"/>
      <c r="I225" s="140"/>
      <c r="J225" s="140"/>
      <c r="K225" s="140"/>
      <c r="L225" s="140"/>
      <c r="P225" s="117"/>
      <c r="Q225" s="117"/>
      <c r="R225" s="117"/>
      <c r="S225" s="117"/>
      <c r="T225" s="117"/>
      <c r="U225" s="191"/>
      <c r="V225" s="119"/>
      <c r="W225" s="119"/>
      <c r="X225" s="117"/>
      <c r="Y225" s="117"/>
      <c r="Z225" s="117"/>
      <c r="AA225" s="189"/>
      <c r="AB225" s="111"/>
      <c r="AC225" s="193"/>
    </row>
    <row r="226" spans="1:29" outlineLevel="1" x14ac:dyDescent="0.15">
      <c r="B226" s="140"/>
      <c r="C226" s="140"/>
      <c r="D226" s="140"/>
      <c r="E226" s="140"/>
      <c r="F226" s="140"/>
      <c r="G226" s="140"/>
      <c r="H226" s="140"/>
      <c r="I226" s="140"/>
      <c r="J226" s="140"/>
      <c r="K226" s="140"/>
      <c r="L226" s="140"/>
      <c r="P226" s="117"/>
      <c r="Q226" s="117"/>
      <c r="R226" s="117"/>
      <c r="S226" s="117"/>
      <c r="T226" s="117"/>
      <c r="U226" s="191"/>
      <c r="V226" s="119"/>
      <c r="W226" s="119"/>
      <c r="X226" s="117"/>
      <c r="Y226" s="117"/>
      <c r="Z226" s="117"/>
      <c r="AA226" s="117"/>
      <c r="AB226" s="111"/>
      <c r="AC226" s="193"/>
    </row>
    <row r="227" spans="1:29" outlineLevel="1" x14ac:dyDescent="0.15">
      <c r="A227" s="276"/>
      <c r="B227" s="140"/>
      <c r="C227" s="140"/>
      <c r="D227" s="140"/>
      <c r="E227" s="140"/>
      <c r="F227" s="140"/>
      <c r="G227" s="140"/>
      <c r="H227" s="140"/>
      <c r="I227" s="140"/>
      <c r="J227" s="140"/>
      <c r="K227" s="140"/>
      <c r="L227" s="140"/>
      <c r="P227" s="117"/>
      <c r="Q227" s="117"/>
      <c r="R227" s="117"/>
      <c r="S227" s="117"/>
      <c r="T227" s="117"/>
      <c r="U227" s="191"/>
      <c r="V227" s="119"/>
      <c r="W227" s="119"/>
      <c r="X227" s="117"/>
      <c r="Y227" s="117"/>
      <c r="Z227" s="117"/>
      <c r="AA227" s="117"/>
      <c r="AB227" s="111"/>
      <c r="AC227" s="193"/>
    </row>
    <row r="228" spans="1:29" outlineLevel="1" x14ac:dyDescent="0.15">
      <c r="A228" s="276"/>
      <c r="B228" s="140"/>
      <c r="C228" s="140"/>
      <c r="D228" s="140"/>
      <c r="E228" s="140"/>
      <c r="F228" s="140"/>
      <c r="G228" s="140"/>
      <c r="H228" s="140"/>
      <c r="I228" s="140"/>
      <c r="J228" s="140"/>
      <c r="K228" s="140"/>
      <c r="L228" s="140"/>
      <c r="P228" s="117"/>
      <c r="Q228" s="117"/>
      <c r="R228" s="117"/>
      <c r="S228" s="117"/>
      <c r="T228" s="117"/>
      <c r="U228" s="191"/>
      <c r="V228" s="119"/>
      <c r="W228" s="119"/>
      <c r="X228" s="117"/>
      <c r="Y228" s="117"/>
      <c r="Z228" s="117"/>
      <c r="AA228" s="117"/>
      <c r="AB228" s="111"/>
      <c r="AC228" s="193"/>
    </row>
    <row r="229" spans="1:29" outlineLevel="1" x14ac:dyDescent="0.15">
      <c r="A229" s="276"/>
      <c r="B229" s="140"/>
      <c r="C229" s="140"/>
      <c r="D229" s="140"/>
      <c r="E229" s="140"/>
      <c r="F229" s="140"/>
      <c r="G229" s="140"/>
      <c r="H229" s="140"/>
      <c r="I229" s="140"/>
      <c r="J229" s="140"/>
      <c r="K229" s="140"/>
      <c r="L229" s="140"/>
      <c r="P229" s="117"/>
      <c r="Q229" s="117"/>
      <c r="R229" s="117"/>
      <c r="S229" s="117"/>
      <c r="T229" s="117"/>
      <c r="U229" s="191"/>
      <c r="V229" s="119"/>
      <c r="W229" s="119"/>
      <c r="X229" s="117"/>
      <c r="Y229" s="117"/>
      <c r="Z229" s="117"/>
      <c r="AA229" s="117"/>
      <c r="AB229" s="111"/>
      <c r="AC229" s="193"/>
    </row>
    <row r="230" spans="1:29" outlineLevel="1" x14ac:dyDescent="0.15">
      <c r="A230" s="276"/>
      <c r="B230" s="140"/>
      <c r="C230" s="140"/>
      <c r="D230" s="140"/>
      <c r="E230" s="140"/>
      <c r="F230" s="140"/>
      <c r="G230" s="140"/>
      <c r="H230" s="140"/>
      <c r="I230" s="140"/>
      <c r="J230" s="140"/>
      <c r="K230" s="140"/>
      <c r="L230" s="140"/>
      <c r="P230" s="117"/>
      <c r="Q230" s="117"/>
      <c r="R230" s="117"/>
      <c r="S230" s="117"/>
      <c r="T230" s="117"/>
      <c r="U230" s="191"/>
      <c r="V230" s="119"/>
      <c r="W230" s="119"/>
      <c r="X230" s="117"/>
      <c r="Y230" s="117"/>
      <c r="Z230" s="117"/>
      <c r="AA230" s="117"/>
      <c r="AB230" s="111"/>
      <c r="AC230" s="193"/>
    </row>
    <row r="231" spans="1:29" outlineLevel="1" x14ac:dyDescent="0.15">
      <c r="A231" s="289"/>
      <c r="B231" s="140"/>
      <c r="C231" s="140"/>
      <c r="D231" s="140"/>
      <c r="E231" s="140"/>
      <c r="F231" s="140"/>
      <c r="G231" s="140"/>
      <c r="H231" s="140"/>
      <c r="I231" s="140"/>
      <c r="J231" s="140"/>
      <c r="K231" s="140"/>
      <c r="L231" s="140"/>
      <c r="P231" s="117"/>
      <c r="Q231" s="117"/>
      <c r="R231" s="117"/>
      <c r="S231" s="117"/>
      <c r="T231" s="117"/>
      <c r="U231" s="191"/>
      <c r="V231" s="119"/>
      <c r="W231" s="119"/>
      <c r="X231" s="117"/>
      <c r="Y231" s="117"/>
      <c r="Z231" s="117"/>
      <c r="AA231" s="117"/>
      <c r="AB231" s="111"/>
      <c r="AC231" s="193"/>
    </row>
    <row r="232" spans="1:29" outlineLevel="1" x14ac:dyDescent="0.15">
      <c r="A232" s="276"/>
      <c r="B232" s="140"/>
      <c r="C232" s="140"/>
      <c r="D232" s="140"/>
      <c r="E232" s="140"/>
      <c r="F232" s="140"/>
      <c r="G232" s="140"/>
      <c r="H232" s="140"/>
      <c r="I232" s="140"/>
      <c r="J232" s="140"/>
      <c r="K232" s="140"/>
      <c r="L232" s="140"/>
      <c r="P232" s="117"/>
      <c r="Q232" s="117"/>
      <c r="R232" s="117"/>
      <c r="S232" s="117"/>
      <c r="T232" s="117"/>
      <c r="U232" s="191"/>
      <c r="V232" s="147" t="s">
        <v>78</v>
      </c>
      <c r="W232" s="147" t="s">
        <v>137</v>
      </c>
      <c r="X232" s="145" t="str" cm="1">
        <f t="array" ref="X232">_xll.FDSC("--",$A$1,""&amp;$V232&amp;"("&amp;$W232&amp;","&amp;D$2&amp;",ANNUAL_ROLL,+1,0,,,'CURRENCY="&amp;$E$1&amp;"')")</f>
        <v>--</v>
      </c>
      <c r="Y232" s="145" t="str" cm="1">
        <f t="array" ref="Y232">_xll.FDSC("--",$A$1,""&amp;$V232&amp;"("&amp;$W232&amp;","&amp;D$2&amp;",ANNUAL_ROLL,+2,0,,,'CURRENCY="&amp;$E$1&amp;"')")</f>
        <v>--</v>
      </c>
      <c r="Z232" s="145" t="str" cm="1">
        <f t="array" ref="Z232">_xll.FDSC("--",$A$1,""&amp;$V232&amp;"("&amp;$W232&amp;","&amp;D$2&amp;",ANNUAL_ROLL,+3,0,,,'CURRENCY="&amp;$E$1&amp;"')")</f>
        <v>--</v>
      </c>
      <c r="AA232" s="117"/>
      <c r="AB232" s="111"/>
      <c r="AC232" s="193"/>
    </row>
    <row r="233" spans="1:29" outlineLevel="1" x14ac:dyDescent="0.15">
      <c r="A233" s="276"/>
      <c r="B233" s="140"/>
      <c r="C233" s="140"/>
      <c r="D233" s="140"/>
      <c r="E233" s="140"/>
      <c r="F233" s="140"/>
      <c r="G233" s="140"/>
      <c r="H233" s="140"/>
      <c r="I233" s="140"/>
      <c r="J233" s="140"/>
      <c r="K233" s="140"/>
      <c r="L233" s="140"/>
      <c r="P233" s="117"/>
      <c r="Q233" s="117"/>
      <c r="R233" s="117"/>
      <c r="S233" s="117"/>
      <c r="T233" s="117"/>
      <c r="U233" s="191"/>
      <c r="V233" s="147"/>
      <c r="W233" s="147"/>
      <c r="X233" s="145"/>
      <c r="Y233" s="145"/>
      <c r="Z233" s="145"/>
      <c r="AA233" s="117"/>
      <c r="AB233" s="111"/>
      <c r="AC233" s="193"/>
    </row>
    <row r="234" spans="1:29" outlineLevel="1" x14ac:dyDescent="0.15">
      <c r="A234" s="289"/>
      <c r="B234" s="140"/>
      <c r="C234" s="140"/>
      <c r="D234" s="140"/>
      <c r="E234" s="140"/>
      <c r="F234" s="140"/>
      <c r="G234" s="140"/>
      <c r="H234" s="140"/>
      <c r="I234" s="140"/>
      <c r="J234" s="140"/>
      <c r="K234" s="140"/>
      <c r="L234" s="140"/>
      <c r="P234" s="117"/>
      <c r="Q234" s="117"/>
      <c r="R234" s="117"/>
      <c r="S234" s="117"/>
      <c r="T234" s="117"/>
      <c r="U234" s="191"/>
      <c r="V234" s="119"/>
      <c r="W234" s="119"/>
      <c r="X234" s="117"/>
      <c r="Y234" s="117"/>
      <c r="Z234" s="117"/>
      <c r="AA234" s="117"/>
      <c r="AB234" s="111"/>
      <c r="AC234" s="193"/>
    </row>
    <row r="235" spans="1:29" outlineLevel="1" x14ac:dyDescent="0.15">
      <c r="A235" s="276"/>
      <c r="B235" s="140"/>
      <c r="C235" s="140"/>
      <c r="D235" s="140"/>
      <c r="E235" s="140"/>
      <c r="F235" s="140"/>
      <c r="G235" s="140"/>
      <c r="H235" s="140"/>
      <c r="I235" s="140"/>
      <c r="J235" s="140"/>
      <c r="K235" s="140"/>
      <c r="L235" s="140"/>
      <c r="P235" s="117"/>
      <c r="Q235" s="117"/>
      <c r="R235" s="117"/>
      <c r="S235" s="117"/>
      <c r="T235" s="117"/>
      <c r="U235" s="191"/>
      <c r="V235" s="119" t="s">
        <v>78</v>
      </c>
      <c r="W235" s="119" t="s">
        <v>140</v>
      </c>
      <c r="X235" s="117" t="str" cm="1">
        <f t="array" ref="X235">_xll.FDSC("--",$A$1,""&amp;$V235&amp;"("&amp;$W235&amp;","&amp;D$2&amp;",ANNUAL_ROLL,+1,0,,,'CURRENCY="&amp;$E$1&amp;"')")</f>
        <v>--</v>
      </c>
      <c r="Y235" s="117" t="str" cm="1">
        <f t="array" ref="Y235">_xll.FDSC("--",$A$1,""&amp;$V235&amp;"("&amp;$W235&amp;","&amp;D$2&amp;",ANNUAL_ROLL,+2,0,,,'CURRENCY="&amp;$E$1&amp;"')")</f>
        <v>--</v>
      </c>
      <c r="Z235" s="117" t="str" cm="1">
        <f t="array" ref="Z235">_xll.FDSC("--",$A$1,""&amp;$V235&amp;"("&amp;$W235&amp;","&amp;D$2&amp;",ANNUAL_ROLL,+3,0,,,'CURRENCY="&amp;$E$1&amp;"')")</f>
        <v>--</v>
      </c>
      <c r="AA235" s="117"/>
      <c r="AB235" s="111"/>
      <c r="AC235" s="193"/>
    </row>
    <row r="236" spans="1:29" outlineLevel="1" x14ac:dyDescent="0.15">
      <c r="A236" s="276"/>
      <c r="B236" s="140"/>
      <c r="C236" s="140"/>
      <c r="D236" s="140"/>
      <c r="E236" s="140"/>
      <c r="F236" s="140"/>
      <c r="G236" s="140"/>
      <c r="H236" s="140"/>
      <c r="I236" s="140"/>
      <c r="J236" s="140"/>
      <c r="K236" s="140"/>
      <c r="L236" s="140"/>
      <c r="P236" s="117"/>
      <c r="Q236" s="117"/>
      <c r="R236" s="117"/>
      <c r="S236" s="117"/>
      <c r="T236" s="117"/>
      <c r="U236" s="191"/>
      <c r="V236" s="119"/>
      <c r="W236" s="119"/>
      <c r="X236" s="117"/>
      <c r="Y236" s="117"/>
      <c r="Z236" s="117"/>
      <c r="AA236" s="117"/>
      <c r="AB236" s="111"/>
      <c r="AC236" s="193"/>
    </row>
    <row r="237" spans="1:29" outlineLevel="1" x14ac:dyDescent="0.15">
      <c r="B237" s="140"/>
      <c r="C237" s="140"/>
      <c r="D237" s="140"/>
      <c r="E237" s="140"/>
      <c r="F237" s="140"/>
      <c r="G237" s="140"/>
      <c r="H237" s="140"/>
      <c r="I237" s="140"/>
      <c r="J237" s="140"/>
      <c r="K237" s="140"/>
      <c r="L237" s="140"/>
      <c r="P237" s="117"/>
      <c r="Q237" s="117"/>
      <c r="R237" s="117"/>
      <c r="S237" s="117"/>
      <c r="T237" s="117"/>
      <c r="U237" s="191"/>
      <c r="V237" s="119"/>
      <c r="W237" s="119"/>
      <c r="X237" s="117"/>
      <c r="Y237" s="117"/>
      <c r="Z237" s="117"/>
      <c r="AA237" s="145"/>
      <c r="AB237" s="111"/>
      <c r="AC237" s="193"/>
    </row>
    <row r="238" spans="1:29" outlineLevel="1" x14ac:dyDescent="0.15">
      <c r="B238" s="140"/>
      <c r="C238" s="140"/>
      <c r="D238" s="140"/>
      <c r="E238" s="140"/>
      <c r="F238" s="140"/>
      <c r="G238" s="140"/>
      <c r="H238" s="140"/>
      <c r="I238" s="140"/>
      <c r="J238" s="140"/>
      <c r="K238" s="140"/>
      <c r="L238" s="140"/>
      <c r="P238" s="117"/>
      <c r="Q238" s="117"/>
      <c r="R238" s="117"/>
      <c r="S238" s="117"/>
      <c r="T238" s="117"/>
      <c r="U238" s="191"/>
      <c r="V238" s="119"/>
      <c r="W238" s="119"/>
      <c r="X238" s="117"/>
      <c r="Y238" s="117"/>
      <c r="Z238" s="117"/>
      <c r="AA238" s="145"/>
      <c r="AB238" s="111"/>
      <c r="AC238" s="193"/>
    </row>
    <row r="239" spans="1:29" outlineLevel="1" x14ac:dyDescent="0.15">
      <c r="B239" s="140"/>
      <c r="C239" s="140"/>
      <c r="D239" s="140"/>
      <c r="E239" s="140"/>
      <c r="F239" s="140"/>
      <c r="G239" s="140"/>
      <c r="H239" s="140"/>
      <c r="I239" s="140"/>
      <c r="J239" s="140"/>
      <c r="K239" s="140"/>
      <c r="L239" s="140"/>
      <c r="P239" s="117"/>
      <c r="Q239" s="117"/>
      <c r="R239" s="117"/>
      <c r="S239" s="117"/>
      <c r="T239" s="117"/>
      <c r="U239" s="191"/>
      <c r="V239" s="119"/>
      <c r="W239" s="119"/>
      <c r="X239" s="117"/>
      <c r="Y239" s="117"/>
      <c r="Z239" s="117"/>
      <c r="AA239" s="117"/>
      <c r="AB239" s="111"/>
      <c r="AC239" s="193"/>
    </row>
    <row r="240" spans="1:29" outlineLevel="1" x14ac:dyDescent="0.15">
      <c r="B240" s="140"/>
      <c r="C240" s="140"/>
      <c r="D240" s="140"/>
      <c r="E240" s="140"/>
      <c r="F240" s="140"/>
      <c r="G240" s="140"/>
      <c r="H240" s="140"/>
      <c r="I240" s="140"/>
      <c r="J240" s="140"/>
      <c r="K240" s="140"/>
      <c r="L240" s="140"/>
      <c r="P240" s="117"/>
      <c r="Q240" s="117"/>
      <c r="R240" s="117"/>
      <c r="S240" s="117"/>
      <c r="T240" s="117"/>
      <c r="U240" s="191"/>
      <c r="V240" s="119"/>
      <c r="W240" s="119"/>
      <c r="X240" s="117"/>
      <c r="Y240" s="117"/>
      <c r="Z240" s="117"/>
      <c r="AA240" s="117"/>
      <c r="AB240" s="111"/>
      <c r="AC240" s="193"/>
    </row>
    <row r="241" spans="1:46" outlineLevel="1" x14ac:dyDescent="0.15">
      <c r="B241" s="140"/>
      <c r="C241" s="140"/>
      <c r="D241" s="140"/>
      <c r="E241" s="140"/>
      <c r="F241" s="140"/>
      <c r="G241" s="140"/>
      <c r="H241" s="140"/>
      <c r="I241" s="140"/>
      <c r="J241" s="140"/>
      <c r="K241" s="140"/>
      <c r="L241" s="140"/>
      <c r="P241" s="117"/>
      <c r="Q241" s="117"/>
      <c r="R241" s="117"/>
      <c r="S241" s="117"/>
      <c r="T241" s="117"/>
      <c r="U241" s="191"/>
      <c r="V241" s="119"/>
      <c r="W241" s="119"/>
      <c r="X241" s="117"/>
      <c r="Y241" s="117"/>
      <c r="Z241" s="117"/>
      <c r="AA241" s="117"/>
      <c r="AB241" s="111"/>
      <c r="AC241" s="193"/>
    </row>
    <row r="242" spans="1:46" outlineLevel="1" x14ac:dyDescent="0.15">
      <c r="B242" s="140"/>
      <c r="C242" s="140"/>
      <c r="D242" s="140"/>
      <c r="E242" s="140"/>
      <c r="F242" s="140"/>
      <c r="G242" s="140"/>
      <c r="H242" s="140"/>
      <c r="I242" s="140"/>
      <c r="J242" s="140"/>
      <c r="K242" s="140"/>
      <c r="L242" s="140"/>
      <c r="P242" s="117"/>
      <c r="Q242" s="117"/>
      <c r="R242" s="117"/>
      <c r="S242" s="117"/>
      <c r="T242" s="117"/>
      <c r="U242" s="191"/>
      <c r="V242" s="119"/>
      <c r="W242" s="119"/>
      <c r="X242" s="117"/>
      <c r="Y242" s="117"/>
      <c r="Z242" s="117"/>
      <c r="AA242" s="117"/>
      <c r="AB242" s="111"/>
      <c r="AC242" s="193"/>
    </row>
    <row r="243" spans="1:46" outlineLevel="1" x14ac:dyDescent="0.15">
      <c r="B243" s="140"/>
      <c r="C243" s="140"/>
      <c r="D243" s="140"/>
      <c r="E243" s="140"/>
      <c r="F243" s="140"/>
      <c r="G243" s="140"/>
      <c r="H243" s="140"/>
      <c r="I243" s="140"/>
      <c r="J243" s="140"/>
      <c r="K243" s="140"/>
      <c r="L243" s="140"/>
      <c r="P243" s="117"/>
      <c r="Q243" s="117"/>
      <c r="R243" s="117"/>
      <c r="S243" s="117"/>
      <c r="T243" s="117"/>
      <c r="U243" s="191"/>
      <c r="V243" s="119"/>
      <c r="W243" s="119"/>
      <c r="X243" s="117"/>
      <c r="Y243" s="117"/>
      <c r="Z243" s="117"/>
      <c r="AA243" s="117"/>
      <c r="AB243" s="111"/>
      <c r="AC243" s="193"/>
    </row>
    <row r="244" spans="1:46" outlineLevel="1" x14ac:dyDescent="0.15">
      <c r="B244" s="140"/>
      <c r="C244" s="140"/>
      <c r="D244" s="140"/>
      <c r="E244" s="140"/>
      <c r="F244" s="140"/>
      <c r="G244" s="140"/>
      <c r="H244" s="140"/>
      <c r="I244" s="140"/>
      <c r="J244" s="140"/>
      <c r="K244" s="140"/>
      <c r="L244" s="140"/>
      <c r="P244" s="117"/>
      <c r="Q244" s="117"/>
      <c r="R244" s="117"/>
      <c r="S244" s="117"/>
      <c r="T244" s="117"/>
      <c r="U244" s="191"/>
      <c r="V244" s="119"/>
      <c r="W244" s="119"/>
      <c r="X244" s="117"/>
      <c r="Y244" s="117"/>
      <c r="Z244" s="117"/>
      <c r="AA244" s="117"/>
      <c r="AB244" s="111"/>
      <c r="AC244" s="193"/>
    </row>
    <row r="245" spans="1:46" outlineLevel="1" x14ac:dyDescent="0.15">
      <c r="B245" s="140"/>
      <c r="C245" s="140"/>
      <c r="D245" s="140"/>
      <c r="E245" s="140"/>
      <c r="F245" s="140"/>
      <c r="G245" s="140"/>
      <c r="H245" s="140"/>
      <c r="I245" s="140"/>
      <c r="J245" s="140"/>
      <c r="K245" s="140"/>
      <c r="L245" s="140"/>
      <c r="P245" s="117"/>
      <c r="Q245" s="117"/>
      <c r="R245" s="117"/>
      <c r="S245" s="117"/>
      <c r="T245" s="117"/>
      <c r="U245" s="191"/>
      <c r="V245" s="147" t="s">
        <v>78</v>
      </c>
      <c r="W245" s="147" t="s">
        <v>149</v>
      </c>
      <c r="X245" s="145" t="str" cm="1">
        <f t="array" ref="X245">_xll.FDSC("--",$A$1,""&amp;$V245&amp;"("&amp;$W245&amp;","&amp;D$2&amp;",ANNUAL_ROLL,+1,0,,,'CURRENCY="&amp;$E$1&amp;"')")</f>
        <v>--</v>
      </c>
      <c r="Y245" s="145" t="str" cm="1">
        <f t="array" ref="Y245">_xll.FDSC("--",$A$1,""&amp;$V245&amp;"("&amp;$W245&amp;","&amp;D$2&amp;",ANNUAL_ROLL,+2,0,,,'CURRENCY="&amp;$E$1&amp;"')")</f>
        <v>--</v>
      </c>
      <c r="Z245" s="145" t="str" cm="1">
        <f t="array" ref="Z245">_xll.FDSC("--",$A$1,""&amp;$V245&amp;"("&amp;$W245&amp;","&amp;D$2&amp;",ANNUAL_ROLL,+3,0,,,'CURRENCY="&amp;$E$1&amp;"')")</f>
        <v>--</v>
      </c>
      <c r="AA245" s="117"/>
      <c r="AB245" s="111"/>
      <c r="AC245" s="193"/>
    </row>
    <row r="246" spans="1:46" outlineLevel="1" x14ac:dyDescent="0.15">
      <c r="B246" s="140"/>
      <c r="C246" s="140"/>
      <c r="D246" s="140"/>
      <c r="E246" s="140"/>
      <c r="F246" s="140"/>
      <c r="G246" s="140"/>
      <c r="H246" s="140"/>
      <c r="I246" s="140"/>
      <c r="J246" s="140"/>
      <c r="K246" s="140"/>
      <c r="L246" s="140"/>
      <c r="P246" s="117"/>
      <c r="Q246" s="117"/>
      <c r="R246" s="117"/>
      <c r="S246" s="117"/>
      <c r="T246" s="117"/>
      <c r="U246" s="191"/>
      <c r="V246" s="119"/>
      <c r="W246" s="119"/>
      <c r="X246" s="117"/>
      <c r="Y246" s="117"/>
      <c r="Z246" s="117"/>
      <c r="AA246" s="117"/>
      <c r="AB246" s="111"/>
      <c r="AC246" s="193"/>
    </row>
    <row r="247" spans="1:46" outlineLevel="1" x14ac:dyDescent="0.15">
      <c r="B247" s="140"/>
      <c r="C247" s="140"/>
      <c r="D247" s="140"/>
      <c r="E247" s="140"/>
      <c r="F247" s="140"/>
      <c r="G247" s="140"/>
      <c r="H247" s="140"/>
      <c r="I247" s="140"/>
      <c r="J247" s="140"/>
      <c r="K247" s="140"/>
      <c r="L247" s="140"/>
      <c r="P247" s="117"/>
      <c r="Q247" s="117"/>
      <c r="R247" s="117"/>
      <c r="S247" s="117"/>
      <c r="T247" s="117"/>
      <c r="U247" s="191"/>
      <c r="V247" s="119"/>
      <c r="W247" s="119"/>
      <c r="X247" s="117"/>
      <c r="Y247" s="117"/>
      <c r="Z247" s="117"/>
      <c r="AA247" s="117"/>
      <c r="AB247" s="111"/>
      <c r="AC247" s="193"/>
    </row>
    <row r="248" spans="1:46" outlineLevel="1" x14ac:dyDescent="0.15">
      <c r="B248" s="140"/>
      <c r="C248" s="140"/>
      <c r="D248" s="140"/>
      <c r="E248" s="140"/>
      <c r="F248" s="140"/>
      <c r="G248" s="140"/>
      <c r="H248" s="140"/>
      <c r="I248" s="140"/>
      <c r="J248" s="140"/>
      <c r="K248" s="140"/>
      <c r="L248" s="140"/>
      <c r="P248" s="117"/>
      <c r="Q248" s="117"/>
      <c r="R248" s="117"/>
      <c r="S248" s="117"/>
      <c r="T248" s="117"/>
      <c r="U248" s="191"/>
      <c r="V248" s="119"/>
      <c r="W248" s="119"/>
      <c r="X248" s="117"/>
      <c r="Y248" s="117"/>
      <c r="Z248" s="117"/>
      <c r="AA248" s="117"/>
      <c r="AB248" s="111"/>
      <c r="AC248" s="193"/>
    </row>
    <row r="249" spans="1:46" outlineLevel="1" x14ac:dyDescent="0.15">
      <c r="B249" s="140"/>
      <c r="C249" s="140"/>
      <c r="D249" s="140"/>
      <c r="E249" s="140"/>
      <c r="F249" s="140"/>
      <c r="G249" s="140"/>
      <c r="H249" s="140"/>
      <c r="I249" s="140"/>
      <c r="J249" s="140"/>
      <c r="K249" s="140"/>
      <c r="L249" s="140"/>
      <c r="P249" s="117"/>
      <c r="Q249" s="117"/>
      <c r="R249" s="117"/>
      <c r="S249" s="117"/>
      <c r="T249" s="117"/>
      <c r="U249" s="191"/>
      <c r="V249" s="119"/>
      <c r="W249" s="119"/>
      <c r="X249" s="117"/>
      <c r="Y249" s="117"/>
      <c r="Z249" s="117"/>
      <c r="AA249" s="117"/>
      <c r="AB249" s="111"/>
      <c r="AC249" s="193"/>
    </row>
    <row r="250" spans="1:46" outlineLevel="1" x14ac:dyDescent="0.15">
      <c r="B250" s="140"/>
      <c r="C250" s="140"/>
      <c r="D250" s="140"/>
      <c r="E250" s="140"/>
      <c r="F250" s="140"/>
      <c r="G250" s="140"/>
      <c r="H250" s="140"/>
      <c r="I250" s="140"/>
      <c r="J250" s="140"/>
      <c r="K250" s="140"/>
      <c r="L250" s="140"/>
      <c r="P250" s="117"/>
      <c r="Q250" s="117"/>
      <c r="R250" s="117"/>
      <c r="S250" s="117"/>
      <c r="T250" s="117"/>
      <c r="U250" s="191"/>
      <c r="V250" s="119"/>
      <c r="W250" s="119"/>
      <c r="X250" s="117"/>
      <c r="Y250" s="117"/>
      <c r="Z250" s="117"/>
      <c r="AA250" s="145"/>
      <c r="AB250" s="111"/>
      <c r="AC250" s="193"/>
    </row>
    <row r="251" spans="1:46" outlineLevel="1" x14ac:dyDescent="0.15">
      <c r="B251" s="140"/>
      <c r="C251" s="140"/>
      <c r="D251" s="140"/>
      <c r="E251" s="140"/>
      <c r="F251" s="140"/>
      <c r="G251" s="140"/>
      <c r="H251" s="140"/>
      <c r="I251" s="140"/>
      <c r="J251" s="140"/>
      <c r="K251" s="140"/>
      <c r="L251" s="140"/>
      <c r="P251" s="117"/>
      <c r="Q251" s="117"/>
      <c r="R251" s="117"/>
      <c r="S251" s="117"/>
      <c r="T251" s="117"/>
      <c r="U251" s="191"/>
      <c r="V251" s="119"/>
      <c r="W251" s="119"/>
      <c r="X251" s="117"/>
      <c r="Y251" s="117"/>
      <c r="Z251" s="117"/>
      <c r="AA251" s="117"/>
      <c r="AB251" s="111"/>
      <c r="AC251" s="193"/>
    </row>
    <row r="252" spans="1:46" x14ac:dyDescent="0.15">
      <c r="A252" s="181" t="s">
        <v>128</v>
      </c>
      <c r="B252" s="140" t="str" cm="1">
        <f t="array" ref="B252">IFERROR(_xll.FDS($A$1,""&amp;#REF!&amp;"("&amp;(CHOOSE($C$1,$AE$4,#REF!))&amp;","&amp;B$7&amp;",,,,"&amp;$E$1&amp;")"),"")</f>
        <v/>
      </c>
      <c r="C252" s="140" t="str" cm="1">
        <f t="array" ref="C252">IFERROR(_xll.FDS($A$1,""&amp;#REF!&amp;"("&amp;(CHOOSE($C$1,$AE$4,#REF!))&amp;","&amp;C$7&amp;",,,,"&amp;$E$1&amp;")"),"")</f>
        <v/>
      </c>
      <c r="D252" s="140" t="str" cm="1">
        <f t="array" ref="D252">IFERROR(_xll.FDS($A$1,""&amp;#REF!&amp;"("&amp;(CHOOSE($C$1,$AE$4,#REF!))&amp;","&amp;D$7&amp;",,,,"&amp;$E$1&amp;")"),"")</f>
        <v/>
      </c>
      <c r="E252" s="140" t="str" cm="1">
        <f t="array" ref="E252">IFERROR(_xll.FDS($A$1,""&amp;#REF!&amp;"("&amp;(CHOOSE($C$1,$AE$4,#REF!))&amp;","&amp;E$7&amp;",,,,"&amp;$E$1&amp;")"),"")</f>
        <v/>
      </c>
      <c r="F252" s="140" t="str" cm="1">
        <f t="array" ref="F252">IFERROR(_xll.FDS($A$1,""&amp;#REF!&amp;"("&amp;(CHOOSE($C$1,$AE$4,#REF!))&amp;","&amp;F$7&amp;",,,,"&amp;$E$1&amp;")"),"")</f>
        <v/>
      </c>
      <c r="G252" s="140" t="str" cm="1">
        <f t="array" ref="G252">IFERROR(_xll.FDS($A$1,""&amp;#REF!&amp;"("&amp;(CHOOSE($C$1,$AE$4,#REF!))&amp;","&amp;G$7&amp;",,,,"&amp;$E$1&amp;")"),"")</f>
        <v/>
      </c>
      <c r="H252" s="140" t="str" cm="1">
        <f t="array" ref="H252">IFERROR(_xll.FDS($A$1,""&amp;#REF!&amp;"("&amp;(CHOOSE($C$1,$AE$4,#REF!))&amp;","&amp;H$7&amp;",,,,"&amp;$E$1&amp;")"),"")</f>
        <v/>
      </c>
      <c r="I252" s="140" t="str" cm="1">
        <f t="array" ref="I252">IFERROR(_xll.FDS($A$1,""&amp;#REF!&amp;"("&amp;(CHOOSE($C$1,$AE$4,#REF!))&amp;","&amp;I$7&amp;",,,,"&amp;$E$1&amp;")"),"")</f>
        <v/>
      </c>
      <c r="J252" s="140" t="str" cm="1">
        <f t="array" ref="J252">IFERROR(_xll.FDS($A$1,""&amp;#REF!&amp;"("&amp;(CHOOSE($C$1,$AE$4,#REF!))&amp;","&amp;J$7&amp;",,,,"&amp;$E$1&amp;")"),"")</f>
        <v/>
      </c>
      <c r="K252" s="140" t="str" cm="1">
        <f t="array" ref="K252">IFERROR(_xll.FDS($A$1,""&amp;#REF!&amp;"("&amp;(CHOOSE($C$1,$AE$4,#REF!))&amp;","&amp;K$7&amp;",,,,"&amp;$E$1&amp;")"),"")</f>
        <v/>
      </c>
      <c r="L252" s="140" t="str" cm="1">
        <f t="array" ref="L252">IFERROR(_xll.FDS($A$1,""&amp;#REF!&amp;"("&amp;(CHOOSE($C$1,$AE$4,#REF!))&amp;","&amp;L$7&amp;",,,,"&amp;$E$1&amp;")"),"")</f>
        <v/>
      </c>
      <c r="P252" s="117"/>
      <c r="Q252" s="117"/>
      <c r="R252" s="117"/>
      <c r="S252" s="117"/>
      <c r="T252" s="117"/>
      <c r="U252" s="191"/>
      <c r="V252" s="119"/>
      <c r="W252" s="119"/>
      <c r="X252" s="117"/>
      <c r="Y252" s="117"/>
      <c r="Z252" s="117"/>
      <c r="AA252" s="117"/>
      <c r="AB252" s="111"/>
      <c r="AC252" s="193"/>
    </row>
    <row r="253" spans="1:46" s="92" customFormat="1" x14ac:dyDescent="0.15">
      <c r="A253" s="181" t="s">
        <v>129</v>
      </c>
      <c r="B253" s="140"/>
      <c r="C253" s="140"/>
      <c r="D253" s="140"/>
      <c r="E253" s="140"/>
      <c r="F253" s="140"/>
      <c r="G253" s="140"/>
      <c r="H253" s="140"/>
      <c r="I253" s="140"/>
      <c r="J253" s="140"/>
      <c r="K253" s="140"/>
      <c r="L253" s="140"/>
      <c r="M253" s="75"/>
      <c r="N253" s="75"/>
      <c r="O253" s="75"/>
      <c r="P253" s="117"/>
      <c r="Q253" s="117"/>
      <c r="R253" s="117"/>
      <c r="S253" s="117"/>
      <c r="T253" s="117"/>
      <c r="U253" s="187"/>
      <c r="V253" s="119"/>
      <c r="W253" s="119"/>
      <c r="X253" s="117"/>
      <c r="Y253" s="117"/>
      <c r="Z253" s="117"/>
      <c r="AA253" s="117"/>
      <c r="AB253" s="189"/>
      <c r="AC253" s="190"/>
      <c r="AJ253" s="78"/>
      <c r="AK253" s="78"/>
      <c r="AL253" s="78"/>
      <c r="AM253" s="78"/>
      <c r="AN253" s="78"/>
      <c r="AO253" s="78"/>
      <c r="AP253" s="78"/>
      <c r="AQ253" s="78"/>
      <c r="AR253" s="78"/>
      <c r="AS253" s="78"/>
      <c r="AT253" s="78"/>
    </row>
    <row r="254" spans="1:46" s="92" customFormat="1" outlineLevel="1" x14ac:dyDescent="0.15">
      <c r="A254" s="78" t="s">
        <v>99</v>
      </c>
      <c r="B254" s="140">
        <f>CHOOSE(IF($B$1=2,2,1),'GAAP-IFRS'!E50,IF('Broker Actual'!E50="-",'GAAP-IFRS'!E50,'Broker Actual'!E50))</f>
        <v>894.4</v>
      </c>
      <c r="C254" s="140">
        <f>CHOOSE(IF($B$1=2,2,1),'GAAP-IFRS'!F50,IF('Broker Actual'!F50="-",'GAAP-IFRS'!F50,'Broker Actual'!F50))</f>
        <v>858.1</v>
      </c>
      <c r="D254" s="140">
        <f>CHOOSE(IF($B$1=2,2,1),'GAAP-IFRS'!G50,IF('Broker Actual'!G50="-",'GAAP-IFRS'!G50,'Broker Actual'!G50))</f>
        <v>413.4</v>
      </c>
      <c r="E254" s="140">
        <f>CHOOSE(IF($B$1=2,2,1),'GAAP-IFRS'!H50,IF('Broker Actual'!H50="-",'GAAP-IFRS'!H50,'Broker Actual'!H50))</f>
        <v>867.1</v>
      </c>
      <c r="F254" s="140">
        <f>CHOOSE(IF($B$1=2,2,1),'GAAP-IFRS'!I50,IF('Broker Actual'!I50="-",'GAAP-IFRS'!I50,'Broker Actual'!I50))</f>
        <v>931.4</v>
      </c>
      <c r="G254" s="140">
        <f>CHOOSE(IF($B$1=2,2,1),'GAAP-IFRS'!J50,IF('Broker Actual'!J50="-",'GAAP-IFRS'!J50,'Broker Actual'!J50))</f>
        <v>994.2</v>
      </c>
      <c r="H254" s="140">
        <f>CHOOSE(IF($B$1=2,2,1),'GAAP-IFRS'!K50,IF('Broker Actual'!K50="-",'GAAP-IFRS'!K50,'Broker Actual'!K50))</f>
        <v>523.4</v>
      </c>
      <c r="I254" s="140">
        <f>CHOOSE(IF($B$1=2,2,1),'GAAP-IFRS'!L50,IF('Broker Actual'!L50="-",'GAAP-IFRS'!L50,'Broker Actual'!L50))</f>
        <v>1100.3</v>
      </c>
      <c r="J254" s="140">
        <f>CHOOSE(IF($B$1=2,2,1),'GAAP-IFRS'!M50,IF('Broker Actual'!M50="-",'GAAP-IFRS'!M50,'Broker Actual'!M50))</f>
        <v>1005.4</v>
      </c>
      <c r="K254" s="140">
        <f>CHOOSE(IF($B$1=2,2,1),'GAAP-IFRS'!N50,IF('Broker Actual'!N50="-",'GAAP-IFRS'!N50,'Broker Actual'!N50))</f>
        <v>890.7</v>
      </c>
      <c r="L254" s="140">
        <f>CHOOSE(IF($B$1=2,2,1),'GAAP-IFRS'!O50,IF('Broker Actual'!O50="-",'GAAP-IFRS'!O50,'Broker Actual'!O50))</f>
        <v>1254.3</v>
      </c>
      <c r="M254" s="139">
        <f>M115</f>
        <v>1520.4016404642539</v>
      </c>
      <c r="N254" s="139">
        <f>N115</f>
        <v>2018.2477322823324</v>
      </c>
      <c r="O254" s="139">
        <f>O115</f>
        <v>1998.4999762658447</v>
      </c>
      <c r="P254" s="139">
        <f>P115</f>
        <v>1877.4360009280317</v>
      </c>
      <c r="Q254" s="139">
        <f>Q115</f>
        <v>1827.532177657054</v>
      </c>
      <c r="R254" s="117"/>
      <c r="S254" s="117"/>
      <c r="T254" s="117"/>
      <c r="U254" s="187"/>
      <c r="V254" s="119"/>
      <c r="W254" s="119"/>
      <c r="X254" s="117"/>
      <c r="Y254" s="117"/>
      <c r="Z254" s="117"/>
      <c r="AA254" s="117"/>
      <c r="AB254" s="189"/>
      <c r="AC254" s="190"/>
      <c r="AJ254" s="78"/>
      <c r="AK254" s="78"/>
      <c r="AL254" s="78"/>
      <c r="AM254" s="78"/>
      <c r="AN254" s="78"/>
      <c r="AO254" s="78"/>
      <c r="AP254" s="78"/>
      <c r="AQ254" s="78"/>
      <c r="AR254" s="78"/>
      <c r="AS254" s="78"/>
      <c r="AT254" s="78"/>
    </row>
    <row r="255" spans="1:46" outlineLevel="1" x14ac:dyDescent="0.15">
      <c r="A255" s="77" t="s">
        <v>131</v>
      </c>
      <c r="B255" s="140">
        <f>CHOOSE(IF($B$1=2,2,1),'GAAP-IFRS'!E51,IF('Broker Actual'!E51="-",'GAAP-IFRS'!E51,'Broker Actual'!E51))</f>
        <v>84.3</v>
      </c>
      <c r="C255" s="140">
        <f>CHOOSE(IF($B$1=2,2,1),'GAAP-IFRS'!F51,IF('Broker Actual'!F51="-",'GAAP-IFRS'!F51,'Broker Actual'!F51))</f>
        <v>84.8</v>
      </c>
      <c r="D255" s="140">
        <f>CHOOSE(IF($B$1=2,2,1),'GAAP-IFRS'!G51,IF('Broker Actual'!G51="-",'GAAP-IFRS'!G51,'Broker Actual'!G51))</f>
        <v>87.9</v>
      </c>
      <c r="E255" s="140">
        <f>CHOOSE(IF($B$1=2,2,1),'GAAP-IFRS'!H51,IF('Broker Actual'!H51="-",'GAAP-IFRS'!H51,'Broker Actual'!H51))</f>
        <v>99.5</v>
      </c>
      <c r="F255" s="140">
        <f>CHOOSE(IF($B$1=2,2,1),'GAAP-IFRS'!I51,IF('Broker Actual'!I51="-",'GAAP-IFRS'!I51,'Broker Actual'!I51))</f>
        <v>101.7</v>
      </c>
      <c r="G255" s="140">
        <f>CHOOSE(IF($B$1=2,2,1),'GAAP-IFRS'!J51,IF('Broker Actual'!J51="-",'GAAP-IFRS'!J51,'Broker Actual'!J51))</f>
        <v>103.4</v>
      </c>
      <c r="H255" s="140">
        <f>CHOOSE(IF($B$1=2,2,1),'GAAP-IFRS'!K51,IF('Broker Actual'!K51="-",'GAAP-IFRS'!K51,'Broker Actual'!K51))</f>
        <v>101.4</v>
      </c>
      <c r="I255" s="140">
        <f>CHOOSE(IF($B$1=2,2,1),'GAAP-IFRS'!L51,IF('Broker Actual'!L51="-",'GAAP-IFRS'!L51,'Broker Actual'!L51))</f>
        <v>110.1</v>
      </c>
      <c r="J255" s="140">
        <f>CHOOSE(IF($B$1=2,2,1),'GAAP-IFRS'!M51,IF('Broker Actual'!M51="-",'GAAP-IFRS'!M51,'Broker Actual'!M51))</f>
        <v>113.6</v>
      </c>
      <c r="K255" s="140">
        <f>CHOOSE(IF($B$1=2,2,1),'GAAP-IFRS'!N51,IF('Broker Actual'!N51="-",'GAAP-IFRS'!N51,'Broker Actual'!N51))</f>
        <v>119.8</v>
      </c>
      <c r="L255" s="140">
        <f>CHOOSE(IF($B$1=2,2,1),'GAAP-IFRS'!O51,IF('Broker Actual'!O51="-",'GAAP-IFRS'!O51,'Broker Actual'!O51))</f>
        <v>110.5</v>
      </c>
      <c r="M255" s="139">
        <f>M256*M37</f>
        <v>99.570712810046999</v>
      </c>
      <c r="N255" s="139">
        <f>N256*N37</f>
        <v>112.73126329955235</v>
      </c>
      <c r="O255" s="139">
        <f>O256*O37</f>
        <v>116.53229664779101</v>
      </c>
      <c r="P255" s="139">
        <f>P256*P37</f>
        <v>118.2008814397752</v>
      </c>
      <c r="Q255" s="139">
        <f>Q256*Q37</f>
        <v>119.09963893247277</v>
      </c>
      <c r="R255" s="117"/>
      <c r="S255" s="117"/>
      <c r="T255" s="117"/>
      <c r="U255" s="118"/>
      <c r="V255" s="119"/>
      <c r="W255" s="119"/>
      <c r="X255" s="117"/>
      <c r="Y255" s="117"/>
      <c r="Z255" s="117"/>
      <c r="AA255" s="117"/>
      <c r="AB255" s="117" cm="1">
        <f t="array" ref="AB255">_xll.FDSC("--",$A$1,"FF_FUNDS_OPER_GROSS(LTM_R,0,,,,"&amp;$E$1&amp;")@FF_FUNDS_OPER_GROSS(LTM_SEMI_R,0,,,,"&amp;$E$1&amp;")")</f>
        <v>1122.2</v>
      </c>
      <c r="AC255" s="120"/>
    </row>
    <row r="256" spans="1:46" outlineLevel="1" x14ac:dyDescent="0.15">
      <c r="A256" s="128" t="s">
        <v>110</v>
      </c>
      <c r="B256" s="138">
        <f t="shared" ref="B256:L256" si="127">IFERROR(B255/B$49,"")</f>
        <v>8.0168134355326475E-3</v>
      </c>
      <c r="C256" s="138">
        <f t="shared" si="127"/>
        <v>8.1902296741293047E-3</v>
      </c>
      <c r="D256" s="138">
        <f t="shared" si="127"/>
        <v>8.3637021037708016E-3</v>
      </c>
      <c r="E256" s="138">
        <f t="shared" si="127"/>
        <v>9.2719428214661798E-3</v>
      </c>
      <c r="F256" s="138">
        <f t="shared" si="127"/>
        <v>9.2065360068800083E-3</v>
      </c>
      <c r="G256" s="138">
        <f t="shared" si="127"/>
        <v>9.1611439912109727E-3</v>
      </c>
      <c r="H256" s="138">
        <f t="shared" si="127"/>
        <v>8.7425098073026682E-3</v>
      </c>
      <c r="I256" s="138">
        <f t="shared" si="127"/>
        <v>9.1758411187692207E-3</v>
      </c>
      <c r="J256" s="138">
        <f>IFERROR(J255/J$49,"")</f>
        <v>8.6308415830300637E-3</v>
      </c>
      <c r="K256" s="138">
        <f t="shared" si="127"/>
        <v>9.9718656877923733E-3</v>
      </c>
      <c r="L256" s="138">
        <f t="shared" si="127"/>
        <v>9.215244766908515E-3</v>
      </c>
      <c r="M256" s="486">
        <v>8.0000000000000002E-3</v>
      </c>
      <c r="N256" s="486">
        <v>8.0000000000000002E-3</v>
      </c>
      <c r="O256" s="486">
        <v>8.0000000000000002E-3</v>
      </c>
      <c r="P256" s="486">
        <v>8.0000000000000002E-3</v>
      </c>
      <c r="Q256" s="486">
        <v>8.0000000000000002E-3</v>
      </c>
      <c r="R256" s="117"/>
      <c r="S256" s="117"/>
      <c r="T256" s="117"/>
      <c r="U256" s="118"/>
      <c r="V256" s="119"/>
      <c r="W256" s="119"/>
      <c r="X256" s="117"/>
      <c r="Y256" s="117"/>
      <c r="Z256" s="117"/>
      <c r="AA256" s="117"/>
      <c r="AB256" s="117"/>
      <c r="AC256" s="120"/>
    </row>
    <row r="257" spans="1:29" outlineLevel="1" x14ac:dyDescent="0.15">
      <c r="A257" s="77" t="s">
        <v>132</v>
      </c>
      <c r="B257" s="140">
        <f>CHOOSE(IF($B$1=2,2,1),'GAAP-IFRS'!E47,IF('Broker Actual'!E47="-",'GAAP-IFRS'!E47,'Broker Actual'!E47))</f>
        <v>0</v>
      </c>
      <c r="C257" s="139" t="str">
        <f>CHOOSE(IF($B$1=2,2,1),'GAAP-IFRS'!F52,IF('Broker Actual'!F52="-",'GAAP-IFRS'!F52,'Broker Actual'!F52))</f>
        <v/>
      </c>
      <c r="D257" s="139" t="str">
        <f>CHOOSE(IF($B$1=2,2,1),'GAAP-IFRS'!G52,IF('Broker Actual'!G52="-",'GAAP-IFRS'!G52,'Broker Actual'!G52))</f>
        <v/>
      </c>
      <c r="E257" s="139" t="str">
        <f>CHOOSE(IF($B$1=2,2,1),'GAAP-IFRS'!H52,IF('Broker Actual'!H52="-",'GAAP-IFRS'!H52,'Broker Actual'!H52))</f>
        <v/>
      </c>
      <c r="F257" s="139" t="str">
        <f>CHOOSE(IF($B$1=2,2,1),'GAAP-IFRS'!I52,IF('Broker Actual'!I52="-",'GAAP-IFRS'!I52,'Broker Actual'!I52))</f>
        <v/>
      </c>
      <c r="G257" s="139" t="str">
        <f>CHOOSE(IF($B$1=2,2,1),'GAAP-IFRS'!J52,IF('Broker Actual'!J52="-",'GAAP-IFRS'!J52,'Broker Actual'!J52))</f>
        <v/>
      </c>
      <c r="H257" s="139" t="str">
        <f>CHOOSE(IF($B$1=2,2,1),'GAAP-IFRS'!K52,IF('Broker Actual'!K52="-",'GAAP-IFRS'!K52,'Broker Actual'!K52))</f>
        <v/>
      </c>
      <c r="I257" s="139" t="str">
        <f>CHOOSE(IF($B$1=2,2,1),'GAAP-IFRS'!L52,IF('Broker Actual'!L52="-",'GAAP-IFRS'!L52,'Broker Actual'!L52))</f>
        <v/>
      </c>
      <c r="J257" s="139" t="str">
        <f>CHOOSE(IF($B$1=2,2,1),'GAAP-IFRS'!M52,IF('Broker Actual'!M52="-",'GAAP-IFRS'!M52,'Broker Actual'!M52))</f>
        <v/>
      </c>
      <c r="K257" s="139" t="str">
        <f>CHOOSE(IF($B$1=2,2,1),'GAAP-IFRS'!N52,IF('Broker Actual'!N52="-",'GAAP-IFRS'!N52,'Broker Actual'!N52))</f>
        <v/>
      </c>
      <c r="L257" s="139" t="str">
        <f>CHOOSE(IF($B$1=2,2,1),'GAAP-IFRS'!O52,IF('Broker Actual'!O52="-",'GAAP-IFRS'!O52,'Broker Actual'!O52))</f>
        <v/>
      </c>
      <c r="M257" s="139"/>
      <c r="N257" s="139"/>
      <c r="O257" s="139"/>
      <c r="P257" s="117"/>
      <c r="Q257" s="117"/>
      <c r="R257" s="117"/>
      <c r="S257" s="117"/>
      <c r="T257" s="117"/>
      <c r="U257" s="118"/>
      <c r="V257" s="119"/>
      <c r="W257" s="119"/>
      <c r="X257" s="117"/>
      <c r="Y257" s="117"/>
      <c r="Z257" s="117"/>
      <c r="AA257" s="117"/>
      <c r="AB257" s="117"/>
      <c r="AC257" s="120"/>
    </row>
    <row r="258" spans="1:29" outlineLevel="1" x14ac:dyDescent="0.15">
      <c r="A258" s="128" t="s">
        <v>110</v>
      </c>
      <c r="B258" s="140" t="str">
        <f>CHOOSE(IF($B$1=2,2,1),'GAAP-IFRS'!E53,IF('Broker Actual'!E53="-",'GAAP-IFRS'!E53,'Broker Actual'!E53))</f>
        <v/>
      </c>
      <c r="C258" s="253" t="str">
        <f>IFERROR(#REF!/C$61,"")</f>
        <v/>
      </c>
      <c r="D258" s="253" t="str">
        <f>IFERROR(C257/D$61,"")</f>
        <v/>
      </c>
      <c r="E258" s="253" t="str">
        <f t="shared" ref="E258:L258" si="128">IFERROR(E257/E$61,"")</f>
        <v/>
      </c>
      <c r="F258" s="253" t="str">
        <f t="shared" si="128"/>
        <v/>
      </c>
      <c r="G258" s="253" t="str">
        <f t="shared" si="128"/>
        <v/>
      </c>
      <c r="H258" s="253" t="str">
        <f t="shared" si="128"/>
        <v/>
      </c>
      <c r="I258" s="253" t="str">
        <f t="shared" si="128"/>
        <v/>
      </c>
      <c r="J258" s="253" t="str">
        <f t="shared" si="128"/>
        <v/>
      </c>
      <c r="K258" s="253" t="str">
        <f t="shared" si="128"/>
        <v/>
      </c>
      <c r="L258" s="253" t="str">
        <f t="shared" si="128"/>
        <v/>
      </c>
      <c r="M258" s="254"/>
      <c r="N258" s="254"/>
      <c r="O258" s="254"/>
      <c r="P258" s="117"/>
      <c r="Q258" s="117"/>
      <c r="R258" s="117"/>
      <c r="S258" s="117"/>
      <c r="T258" s="117"/>
      <c r="U258" s="118"/>
      <c r="V258" s="119"/>
      <c r="W258" s="119"/>
      <c r="X258" s="117"/>
      <c r="Y258" s="117"/>
      <c r="Z258" s="117"/>
      <c r="AA258" s="117"/>
      <c r="AB258" s="117"/>
      <c r="AC258" s="120"/>
    </row>
    <row r="259" spans="1:29" ht="15" outlineLevel="1" x14ac:dyDescent="0.15">
      <c r="A259" s="218" t="s">
        <v>390</v>
      </c>
      <c r="B259" s="140"/>
      <c r="C259" s="255">
        <v>572.5</v>
      </c>
      <c r="D259" s="255">
        <v>972.2</v>
      </c>
      <c r="E259" s="255">
        <v>293.89999999999998</v>
      </c>
      <c r="F259" s="255">
        <v>368.2</v>
      </c>
      <c r="G259" s="255">
        <v>441.9</v>
      </c>
      <c r="H259" s="255">
        <v>1193.0999999999999</v>
      </c>
      <c r="I259" s="255">
        <v>376.1</v>
      </c>
      <c r="J259" s="255">
        <v>1610</v>
      </c>
      <c r="K259" s="255">
        <v>153.30000000000001</v>
      </c>
      <c r="L259" s="255">
        <v>-218.2</v>
      </c>
      <c r="M259" s="139">
        <f>M260*M37</f>
        <v>124.46339101255876</v>
      </c>
      <c r="N259" s="139">
        <f>N260*N37</f>
        <v>445.93328668006404</v>
      </c>
      <c r="O259" s="139">
        <f>O260*O37</f>
        <v>461.84665072542816</v>
      </c>
      <c r="P259" s="139">
        <f>P260*P37</f>
        <v>200.69063033289839</v>
      </c>
      <c r="Q259" s="139">
        <f>Q260*Q37</f>
        <v>204.66617830366422</v>
      </c>
      <c r="R259" s="117"/>
      <c r="S259" s="117"/>
      <c r="T259" s="117"/>
      <c r="U259" s="118"/>
      <c r="V259" s="119"/>
      <c r="W259" s="119"/>
      <c r="X259" s="117"/>
      <c r="Y259" s="117"/>
      <c r="Z259" s="117"/>
      <c r="AA259" s="117"/>
      <c r="AB259" s="117"/>
      <c r="AC259" s="120"/>
    </row>
    <row r="260" spans="1:29" outlineLevel="1" x14ac:dyDescent="0.15">
      <c r="A260" s="128" t="s">
        <v>110</v>
      </c>
      <c r="B260" s="138">
        <f t="shared" ref="B260:L260" si="129">IFERROR(B259/B$49,"")</f>
        <v>0</v>
      </c>
      <c r="C260" s="138">
        <f t="shared" si="129"/>
        <v>5.5293708590082875E-2</v>
      </c>
      <c r="D260" s="138">
        <f t="shared" si="129"/>
        <v>9.25050191727642E-2</v>
      </c>
      <c r="E260" s="138">
        <f t="shared" si="129"/>
        <v>2.7387175831446328E-2</v>
      </c>
      <c r="F260" s="138">
        <f t="shared" si="129"/>
        <v>3.3331824559815322E-2</v>
      </c>
      <c r="G260" s="138">
        <f t="shared" si="129"/>
        <v>3.9151929687776872E-2</v>
      </c>
      <c r="H260" s="138">
        <f t="shared" si="129"/>
        <v>0.10286675001077725</v>
      </c>
      <c r="I260" s="138">
        <f t="shared" si="129"/>
        <v>3.1344539916158987E-2</v>
      </c>
      <c r="J260" s="138">
        <f>IFERROR(J259/J$49,"")</f>
        <v>0.12232090623836621</v>
      </c>
      <c r="K260" s="138">
        <f t="shared" si="129"/>
        <v>1.2760325625530641E-2</v>
      </c>
      <c r="L260" s="138">
        <f t="shared" si="129"/>
        <v>-1.8196981069135185E-2</v>
      </c>
      <c r="M260" s="369">
        <v>0.01</v>
      </c>
      <c r="N260" s="369">
        <f t="shared" ref="N260:Q260" si="130">AVERAGE(I260:M260)</f>
        <v>3.1645758142184136E-2</v>
      </c>
      <c r="O260" s="369">
        <f t="shared" si="130"/>
        <v>3.1706001787389158E-2</v>
      </c>
      <c r="P260" s="369">
        <f t="shared" si="130"/>
        <v>1.3583020897193748E-2</v>
      </c>
      <c r="Q260" s="369">
        <f t="shared" si="130"/>
        <v>1.3747559951526373E-2</v>
      </c>
      <c r="R260" s="117"/>
      <c r="S260" s="117"/>
      <c r="T260" s="117"/>
      <c r="U260" s="118"/>
      <c r="V260" s="119"/>
      <c r="W260" s="119"/>
      <c r="X260" s="117"/>
      <c r="Y260" s="117"/>
      <c r="Z260" s="117"/>
      <c r="AA260" s="117"/>
      <c r="AB260" s="117"/>
      <c r="AC260" s="120"/>
    </row>
    <row r="261" spans="1:29" ht="15" outlineLevel="1" x14ac:dyDescent="0.15">
      <c r="A261" s="218" t="s">
        <v>391</v>
      </c>
      <c r="B261" s="140"/>
      <c r="C261" s="255">
        <v>-6.8</v>
      </c>
      <c r="D261" s="255">
        <v>-16.100000000000001</v>
      </c>
      <c r="E261" s="255">
        <v>43.8</v>
      </c>
      <c r="F261" s="255">
        <v>-24.2</v>
      </c>
      <c r="G261" s="255">
        <v>-40.299999999999997</v>
      </c>
      <c r="H261" s="255">
        <v>39.5</v>
      </c>
      <c r="I261" s="255">
        <v>23.2</v>
      </c>
      <c r="J261" s="255">
        <v>-1199.0999999999999</v>
      </c>
      <c r="K261" s="255">
        <v>-76.7</v>
      </c>
      <c r="L261" s="255">
        <v>15.7</v>
      </c>
      <c r="M261" s="139">
        <f>AVERAGE(K261:L261)</f>
        <v>-30.5</v>
      </c>
      <c r="N261" s="139">
        <f t="shared" ref="N261:Q262" si="131">AVERAGE(L261:M261)</f>
        <v>-7.4</v>
      </c>
      <c r="O261" s="139">
        <f t="shared" si="131"/>
        <v>-18.95</v>
      </c>
      <c r="P261" s="139">
        <f t="shared" si="131"/>
        <v>-13.175000000000001</v>
      </c>
      <c r="Q261" s="139">
        <f t="shared" si="131"/>
        <v>-16.0625</v>
      </c>
      <c r="R261" s="117"/>
      <c r="S261" s="117"/>
      <c r="T261" s="117"/>
      <c r="U261" s="118"/>
      <c r="V261" s="119"/>
      <c r="W261" s="119"/>
      <c r="X261" s="117"/>
      <c r="Y261" s="117"/>
      <c r="Z261" s="117"/>
      <c r="AA261" s="117"/>
      <c r="AB261" s="117"/>
      <c r="AC261" s="120"/>
    </row>
    <row r="262" spans="1:29" outlineLevel="1" x14ac:dyDescent="0.15">
      <c r="A262" s="77" t="s">
        <v>522</v>
      </c>
      <c r="B262" s="140"/>
      <c r="C262" s="255">
        <v>-226.3</v>
      </c>
      <c r="D262" s="255">
        <v>-195.7</v>
      </c>
      <c r="E262" s="255">
        <v>-194.1</v>
      </c>
      <c r="F262" s="255">
        <v>-187.7</v>
      </c>
      <c r="G262" s="255">
        <v>-200.1</v>
      </c>
      <c r="H262" s="255">
        <v>-211.1</v>
      </c>
      <c r="I262" s="255">
        <v>-237.9</v>
      </c>
      <c r="J262" s="255">
        <v>-120.5</v>
      </c>
      <c r="K262" s="255">
        <v>-254.7</v>
      </c>
      <c r="L262" s="255">
        <v>-247</v>
      </c>
      <c r="M262" s="139">
        <f>AVERAGE(K262:L262)</f>
        <v>-250.85</v>
      </c>
      <c r="N262" s="139">
        <f t="shared" si="131"/>
        <v>-248.92500000000001</v>
      </c>
      <c r="O262" s="139">
        <f t="shared" si="131"/>
        <v>-249.88749999999999</v>
      </c>
      <c r="P262" s="139">
        <f t="shared" si="131"/>
        <v>-249.40625</v>
      </c>
      <c r="Q262" s="139">
        <f t="shared" si="131"/>
        <v>-249.64687499999999</v>
      </c>
      <c r="R262" s="117"/>
      <c r="S262" s="117"/>
      <c r="T262" s="117"/>
      <c r="U262" s="118"/>
      <c r="V262" s="119"/>
      <c r="W262" s="119"/>
      <c r="X262" s="117"/>
      <c r="Y262" s="117"/>
      <c r="Z262" s="117"/>
      <c r="AA262" s="117"/>
      <c r="AB262" s="117"/>
      <c r="AC262" s="120"/>
    </row>
    <row r="263" spans="1:29" ht="15.75" customHeight="1" outlineLevel="1" x14ac:dyDescent="0.15">
      <c r="A263" s="77" t="s">
        <v>392</v>
      </c>
      <c r="B263" s="140"/>
      <c r="C263" s="255">
        <v>-196.7</v>
      </c>
      <c r="D263" s="255">
        <v>-21.5</v>
      </c>
      <c r="E263" s="255">
        <v>29.3</v>
      </c>
      <c r="F263" s="255">
        <v>-167.3</v>
      </c>
      <c r="G263" s="255">
        <v>-101.8</v>
      </c>
      <c r="H263" s="255">
        <v>-4.7</v>
      </c>
      <c r="I263" s="255">
        <v>37.5</v>
      </c>
      <c r="J263" s="255">
        <v>242.9</v>
      </c>
      <c r="K263" s="255">
        <v>678</v>
      </c>
      <c r="L263" s="255">
        <v>566</v>
      </c>
      <c r="M263" s="139">
        <f>AVERAGE(H263:L263)</f>
        <v>303.94</v>
      </c>
      <c r="N263" s="139">
        <f t="shared" ref="N263:Q263" si="132">AVERAGE(I263:M263)</f>
        <v>365.66800000000001</v>
      </c>
      <c r="O263" s="139">
        <f t="shared" si="132"/>
        <v>431.30160000000006</v>
      </c>
      <c r="P263" s="139">
        <f t="shared" si="132"/>
        <v>468.98192000000006</v>
      </c>
      <c r="Q263" s="139">
        <f t="shared" si="132"/>
        <v>427.17830400000003</v>
      </c>
      <c r="R263" s="117"/>
      <c r="S263" s="117"/>
      <c r="T263" s="117"/>
      <c r="U263" s="118"/>
      <c r="V263" s="119"/>
      <c r="W263" s="119"/>
      <c r="X263" s="117"/>
      <c r="Y263" s="117"/>
      <c r="Z263" s="117"/>
      <c r="AA263" s="117"/>
      <c r="AB263" s="117"/>
      <c r="AC263" s="120"/>
    </row>
    <row r="264" spans="1:29" outlineLevel="1" x14ac:dyDescent="0.15">
      <c r="A264" s="77" t="s">
        <v>393</v>
      </c>
      <c r="B264" s="138" t="str">
        <f>IFERROR(#REF!/B$49,"")</f>
        <v/>
      </c>
      <c r="C264" s="139">
        <v>-54.100000000000101</v>
      </c>
      <c r="D264" s="139">
        <v>-16.600000000000101</v>
      </c>
      <c r="E264" s="139">
        <v>152.6</v>
      </c>
      <c r="F264" s="139">
        <v>94</v>
      </c>
      <c r="G264" s="139">
        <v>-33.200000000000301</v>
      </c>
      <c r="H264" s="139">
        <v>-105.1</v>
      </c>
      <c r="I264" s="139">
        <v>332.3</v>
      </c>
      <c r="J264" s="139">
        <v>-1054.8</v>
      </c>
      <c r="K264" s="139">
        <v>-122.9</v>
      </c>
      <c r="L264" s="139">
        <v>-62.599999999999902</v>
      </c>
      <c r="M264" s="139">
        <f>AVERAGE(K264:L264)</f>
        <v>-92.749999999999957</v>
      </c>
      <c r="N264" s="139">
        <f t="shared" ref="N264:Q264" si="133">AVERAGE(L264:M264)</f>
        <v>-77.674999999999926</v>
      </c>
      <c r="O264" s="139">
        <f t="shared" si="133"/>
        <v>-85.212499999999949</v>
      </c>
      <c r="P264" s="139">
        <f t="shared" si="133"/>
        <v>-81.443749999999937</v>
      </c>
      <c r="Q264" s="139">
        <f t="shared" si="133"/>
        <v>-83.328124999999943</v>
      </c>
      <c r="R264" s="117"/>
      <c r="S264" s="117"/>
      <c r="T264" s="117"/>
      <c r="U264" s="118"/>
      <c r="V264" s="119"/>
      <c r="W264" s="119"/>
      <c r="X264" s="117"/>
      <c r="Y264" s="117"/>
      <c r="Z264" s="117"/>
      <c r="AA264" s="117"/>
      <c r="AB264" s="117"/>
      <c r="AC264" s="120"/>
    </row>
    <row r="265" spans="1:29" outlineLevel="1" x14ac:dyDescent="0.15">
      <c r="A265" s="108" t="s">
        <v>136</v>
      </c>
      <c r="B265" s="164">
        <f>CHOOSE(IF($B$1=2,2,1),'GAAP-IFRS'!E56,IF('Broker Actual'!E56="-",'GAAP-IFRS'!E56,'Broker Actual'!E56))</f>
        <v>1379.6</v>
      </c>
      <c r="C265" s="164">
        <f>CHOOSE(IF($B$1=2,2,1),'GAAP-IFRS'!F56,IF('Broker Actual'!F56="-",'GAAP-IFRS'!F56,'Broker Actual'!F56))</f>
        <v>1031.5</v>
      </c>
      <c r="D265" s="164">
        <f>CHOOSE(IF($B$1=2,2,1),'GAAP-IFRS'!G56,IF('Broker Actual'!G56="-",'GAAP-IFRS'!G56,'Broker Actual'!G56))</f>
        <v>1223.5999999999999</v>
      </c>
      <c r="E265" s="164">
        <f>CHOOSE(IF($B$1=2,2,1),'GAAP-IFRS'!H56,IF('Broker Actual'!H56="-",'GAAP-IFRS'!H56,'GAAP-IFRS'!H56))</f>
        <v>1292.0999999999999</v>
      </c>
      <c r="F265" s="164">
        <f>CHOOSE(IF($B$1=2,2,1),'GAAP-IFRS'!I56,IF('Broker Actual'!I56="-",'GAAP-IFRS'!I56,'GAAP-IFRS'!I56))</f>
        <v>1116.0999999999999</v>
      </c>
      <c r="G265" s="164">
        <f>CHOOSE(IF($B$1=2,2,1),'GAAP-IFRS'!J56,IF('Broker Actual'!J56="-",'GAAP-IFRS'!J56,'GAAP-IFRS'!J56))</f>
        <v>1164.0999999999999</v>
      </c>
      <c r="H265" s="164">
        <f>CHOOSE(IF($B$1=2,2,1),'GAAP-IFRS'!K56,IF('Broker Actual'!K56="-",'GAAP-IFRS'!K56,'GAAP-IFRS'!K56))</f>
        <v>1536.5</v>
      </c>
      <c r="I265" s="164">
        <f>CHOOSE(IF($B$1=2,2,1),'GAAP-IFRS'!L56,IF('Broker Actual'!L56="-",'GAAP-IFRS'!L56,'GAAP-IFRS'!L56))</f>
        <v>1741.6</v>
      </c>
      <c r="J265" s="164">
        <f>CHOOSE(IF($B$1=2,2,1),'GAAP-IFRS'!M56,IF('Broker Actual'!M56="-",'GAAP-IFRS'!M56,'GAAP-IFRS'!M56))</f>
        <v>597.5</v>
      </c>
      <c r="K265" s="164">
        <f>CHOOSE(IF($B$1=2,2,1),'GAAP-IFRS'!N56,IF('Broker Actual'!N56="-",'GAAP-IFRS'!N56,'GAAP-IFRS'!N56))</f>
        <v>1387.5</v>
      </c>
      <c r="L265" s="164">
        <f>CHOOSE(IF($B$1=2,2,1),'GAAP-IFRS'!O56,IF('Broker Actual'!O56="-",'GAAP-IFRS'!O56,'GAAP-IFRS'!O56))</f>
        <v>1418.7</v>
      </c>
      <c r="M265" s="139">
        <f>M264+M263+M262+M261+M259+M255+M254</f>
        <v>1674.2757442868597</v>
      </c>
      <c r="N265" s="139">
        <f t="shared" ref="N265:Q265" si="134">N264+N263+N262+N261+N259+N255+N254</f>
        <v>2608.5802822619489</v>
      </c>
      <c r="O265" s="139">
        <f t="shared" si="134"/>
        <v>2654.130523639064</v>
      </c>
      <c r="P265" s="139">
        <f t="shared" si="134"/>
        <v>2321.2844327007056</v>
      </c>
      <c r="Q265" s="139">
        <f t="shared" si="134"/>
        <v>2229.4387988931912</v>
      </c>
      <c r="R265" s="117"/>
      <c r="S265" s="117"/>
      <c r="T265" s="117"/>
      <c r="U265" s="118"/>
      <c r="V265" s="119"/>
      <c r="W265" s="119"/>
      <c r="X265" s="117"/>
      <c r="Y265" s="117"/>
      <c r="Z265" s="117"/>
      <c r="AA265" s="117"/>
      <c r="AB265" s="117"/>
      <c r="AC265" s="120"/>
    </row>
    <row r="266" spans="1:29" outlineLevel="1" x14ac:dyDescent="0.15">
      <c r="A266" s="108"/>
      <c r="B266" s="164"/>
      <c r="C266" s="164"/>
      <c r="D266" s="164"/>
      <c r="E266" s="164"/>
      <c r="F266" s="164"/>
      <c r="G266" s="164"/>
      <c r="H266" s="164"/>
      <c r="I266" s="164"/>
      <c r="J266" s="164"/>
      <c r="K266" s="164"/>
      <c r="L266" s="164"/>
      <c r="P266" s="117"/>
      <c r="Q266" s="117"/>
      <c r="R266" s="117"/>
      <c r="S266" s="117"/>
      <c r="T266" s="117"/>
      <c r="U266" s="118"/>
      <c r="V266" s="119"/>
      <c r="W266" s="119"/>
      <c r="X266" s="117"/>
      <c r="Y266" s="117"/>
      <c r="Z266" s="117"/>
      <c r="AA266" s="117"/>
      <c r="AB266" s="117"/>
      <c r="AC266" s="120"/>
    </row>
    <row r="267" spans="1:29" ht="18.75" customHeight="1" outlineLevel="1" x14ac:dyDescent="0.15">
      <c r="A267" s="108"/>
      <c r="B267" s="164"/>
      <c r="C267" s="164"/>
      <c r="D267" s="164"/>
      <c r="E267" s="164"/>
      <c r="F267" s="164"/>
      <c r="G267" s="164"/>
      <c r="H267" s="164"/>
      <c r="I267" s="164"/>
      <c r="J267" s="164"/>
      <c r="K267" s="164"/>
      <c r="L267" s="164"/>
      <c r="P267" s="117"/>
      <c r="Q267" s="117"/>
      <c r="R267" s="117"/>
      <c r="S267" s="117"/>
      <c r="T267" s="117"/>
      <c r="U267" s="118"/>
      <c r="V267" s="119"/>
      <c r="W267" s="119"/>
      <c r="X267" s="117"/>
      <c r="Y267" s="117"/>
      <c r="Z267" s="117"/>
      <c r="AA267" s="117"/>
      <c r="AB267" s="117"/>
      <c r="AC267" s="120"/>
    </row>
    <row r="268" spans="1:29" ht="18.75" customHeight="1" outlineLevel="1" x14ac:dyDescent="0.15">
      <c r="A268" s="108"/>
      <c r="B268" s="16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P268" s="117"/>
      <c r="Q268" s="117"/>
      <c r="R268" s="117"/>
      <c r="S268" s="117"/>
      <c r="T268" s="117"/>
      <c r="U268" s="118"/>
      <c r="V268" s="119"/>
      <c r="W268" s="119"/>
      <c r="X268" s="117"/>
      <c r="Y268" s="117"/>
      <c r="Z268" s="117"/>
      <c r="AA268" s="117"/>
      <c r="AB268" s="117"/>
      <c r="AC268" s="120"/>
    </row>
    <row r="269" spans="1:29" ht="18.75" customHeight="1" outlineLevel="1" x14ac:dyDescent="0.15">
      <c r="A269" s="108" t="s">
        <v>138</v>
      </c>
      <c r="B269" s="140"/>
      <c r="C269" s="140"/>
      <c r="D269" s="140"/>
      <c r="E269" s="140"/>
      <c r="F269" s="140"/>
      <c r="G269" s="140"/>
      <c r="H269" s="140"/>
      <c r="I269" s="140"/>
      <c r="J269" s="140"/>
      <c r="K269" s="140"/>
      <c r="L269" s="140"/>
      <c r="P269" s="117"/>
      <c r="Q269" s="117"/>
      <c r="R269" s="117"/>
      <c r="S269" s="117"/>
      <c r="T269" s="117"/>
      <c r="U269" s="118"/>
      <c r="V269" s="119"/>
      <c r="W269" s="119"/>
      <c r="X269" s="117"/>
      <c r="Y269" s="117"/>
      <c r="Z269" s="117"/>
      <c r="AA269" s="117"/>
      <c r="AB269" s="117"/>
      <c r="AC269" s="120"/>
    </row>
    <row r="270" spans="1:29" ht="18.75" customHeight="1" outlineLevel="1" x14ac:dyDescent="0.15">
      <c r="A270" s="183" t="s">
        <v>139</v>
      </c>
      <c r="B270" s="140" t="e">
        <f>CHOOSE(IF($B$1=2,2,1),'GAAP-IFRS'!E59,IF('Broker Actual'!E59="-",'GAAP-IFRS'!E59,'Broker Actual'!E59))</f>
        <v>#VALUE!</v>
      </c>
      <c r="C270" s="140">
        <f>CHOOSE(IF($B$1=2,1,1),'GAAP-IFRS'!F59,IF('Broker Actual'!F59="-",'GAAP-IFRS'!F59,'Broker Actual'!F59))</f>
        <v>-105.5</v>
      </c>
      <c r="D270" s="140">
        <f>CHOOSE(IF($B$1=2,1,1),'GAAP-IFRS'!G59,IF('Broker Actual'!G59="-",'GAAP-IFRS'!G59,'Broker Actual'!G59))</f>
        <v>-114.5</v>
      </c>
      <c r="E270" s="140">
        <f>CHOOSE(IF($B$1=2,1,1),'GAAP-IFRS'!H59,IF('Broker Actual'!H59="-",'GAAP-IFRS'!H59,'Broker Actual'!H59))</f>
        <v>-100.2</v>
      </c>
      <c r="F270" s="140">
        <f>CHOOSE(IF($B$1=2,1,1),'GAAP-IFRS'!I59,IF('Broker Actual'!I59="-",'GAAP-IFRS'!I59,'Broker Actual'!I59))</f>
        <v>-85</v>
      </c>
      <c r="G270" s="140">
        <f>CHOOSE(IF($B$1=2,1,1),'GAAP-IFRS'!J59,IF('Broker Actual'!J59="-",'GAAP-IFRS'!J59,'Broker Actual'!J59))</f>
        <v>-105.3</v>
      </c>
      <c r="H270" s="140">
        <f>CHOOSE(IF($B$1=2,1,1),'GAAP-IFRS'!K59,IF('Broker Actual'!K59="-",'GAAP-IFRS'!K59,'Broker Actual'!K59))</f>
        <v>-144.1</v>
      </c>
      <c r="I270" s="140">
        <f>CHOOSE(IF($B$1=2,1,1),'GAAP-IFRS'!L59,IF('Broker Actual'!L59="-",'GAAP-IFRS'!L59,'Broker Actual'!L59))</f>
        <v>-150.9</v>
      </c>
      <c r="J270" s="140">
        <f>CHOOSE(IF($B$1=2,1,1),'GAAP-IFRS'!M59,IF('Broker Actual'!M59="-",'GAAP-IFRS'!M59,'Broker Actual'!M59))</f>
        <v>-119.1</v>
      </c>
      <c r="K270" s="140">
        <f>CHOOSE(IF($B$1=2,1,1),'GAAP-IFRS'!N59,IF('Broker Actual'!N59="-",'GAAP-IFRS'!N59,'Broker Actual'!N59))</f>
        <v>-110.3</v>
      </c>
      <c r="L270" s="140">
        <f>CHOOSE(IF($B$1=2,1,1),'GAAP-IFRS'!O59,IF('Broker Actual'!O59="-",'GAAP-IFRS'!O59,'Broker Actual'!O59))</f>
        <v>-102.2</v>
      </c>
      <c r="M270" s="139">
        <f>M271*M37</f>
        <v>-124.46339101255876</v>
      </c>
      <c r="N270" s="139">
        <f>N271*N37</f>
        <v>-211.37111868666065</v>
      </c>
      <c r="O270" s="139">
        <f>O271*O37</f>
        <v>-218.49805621460814</v>
      </c>
      <c r="P270" s="139">
        <f>P271*P37</f>
        <v>-295.50220359943802</v>
      </c>
      <c r="Q270" s="139">
        <f>Q271*Q37</f>
        <v>-297.74909733118193</v>
      </c>
      <c r="R270" s="117"/>
      <c r="S270" s="117"/>
      <c r="T270" s="117"/>
      <c r="U270" s="118"/>
      <c r="V270" s="119"/>
      <c r="W270" s="119"/>
      <c r="X270" s="117"/>
      <c r="Y270" s="117"/>
      <c r="Z270" s="117"/>
      <c r="AA270" s="117"/>
      <c r="AB270" s="117"/>
      <c r="AC270" s="120"/>
    </row>
    <row r="271" spans="1:29" outlineLevel="1" x14ac:dyDescent="0.15">
      <c r="A271" s="128" t="s">
        <v>110</v>
      </c>
      <c r="B271" s="138" t="str">
        <f t="shared" ref="B271:L271" si="135">IFERROR(B270/B$49,"")</f>
        <v/>
      </c>
      <c r="C271" s="138">
        <f t="shared" si="135"/>
        <v>-1.0189495644111342E-2</v>
      </c>
      <c r="D271" s="138">
        <f t="shared" si="135"/>
        <v>-1.0894697279655936E-2</v>
      </c>
      <c r="E271" s="138">
        <f t="shared" si="135"/>
        <v>-9.3371725699589059E-3</v>
      </c>
      <c r="F271" s="138">
        <f t="shared" si="135"/>
        <v>-7.6947449418367812E-3</v>
      </c>
      <c r="G271" s="138">
        <f t="shared" si="135"/>
        <v>-9.3294822270262607E-3</v>
      </c>
      <c r="H271" s="138">
        <f t="shared" si="135"/>
        <v>-1.2424020347458722E-2</v>
      </c>
      <c r="I271" s="138">
        <f t="shared" si="135"/>
        <v>-1.2576152814007951E-2</v>
      </c>
      <c r="J271" s="138">
        <f t="shared" si="135"/>
        <v>-9.0487080329126803E-3</v>
      </c>
      <c r="K271" s="138">
        <f t="shared" si="135"/>
        <v>-9.1811083920158489E-3</v>
      </c>
      <c r="L271" s="138">
        <f t="shared" si="135"/>
        <v>-8.5230589608873333E-3</v>
      </c>
      <c r="M271" s="138">
        <v>-0.01</v>
      </c>
      <c r="N271" s="138">
        <v>-1.4999999999999999E-2</v>
      </c>
      <c r="O271" s="138">
        <f>N271</f>
        <v>-1.4999999999999999E-2</v>
      </c>
      <c r="P271" s="138">
        <v>-0.02</v>
      </c>
      <c r="Q271" s="138">
        <f t="shared" ref="Q271" si="136">P271</f>
        <v>-0.02</v>
      </c>
      <c r="R271" s="117"/>
      <c r="S271" s="117"/>
      <c r="T271" s="117"/>
      <c r="U271" s="118"/>
      <c r="V271" s="119"/>
      <c r="W271" s="119"/>
      <c r="X271" s="117"/>
      <c r="Y271" s="117"/>
      <c r="Z271" s="117"/>
      <c r="AA271" s="117"/>
      <c r="AB271" s="117"/>
      <c r="AC271" s="120"/>
    </row>
    <row r="272" spans="1:29" outlineLevel="1" x14ac:dyDescent="0.15">
      <c r="A272" s="183" t="s">
        <v>141</v>
      </c>
      <c r="B272" s="140">
        <f>CHOOSE(IF($B$1=2,2,1),'GAAP-IFRS'!E60,IF('Broker Actual'!E60="-",'GAAP-IFRS'!E60,'Broker Actual'!E60))</f>
        <v>0</v>
      </c>
      <c r="C272" s="140">
        <f>CHOOSE(IF($B$1=2,2,1),'GAAP-IFRS'!F60,IF('Broker Actual'!F60="-",'GAAP-IFRS'!F60,'Broker Actual'!F60))</f>
        <v>0</v>
      </c>
      <c r="D272" s="140">
        <f>CHOOSE(IF($B$1=2,2,1),'GAAP-IFRS'!G60,IF('Broker Actual'!G60="-",'GAAP-IFRS'!G60,'Broker Actual'!G60))</f>
        <v>0</v>
      </c>
      <c r="E272" s="140">
        <f>CHOOSE(IF($B$1=2,2,1),'GAAP-IFRS'!H60,IF('Broker Actual'!H60="-",'GAAP-IFRS'!H60,'Broker Actual'!H60))</f>
        <v>-54.3</v>
      </c>
      <c r="F272" s="140">
        <f>CHOOSE(IF($B$1=2,2,1),'GAAP-IFRS'!I60,IF('Broker Actual'!I60="-",'GAAP-IFRS'!I60,'Broker Actual'!I60))</f>
        <v>-129.19999999999999</v>
      </c>
      <c r="G272" s="140">
        <f>CHOOSE(IF($B$1=2,2,1),'GAAP-IFRS'!J60,IF('Broker Actual'!J60="-",'GAAP-IFRS'!J60,'Broker Actual'!J60))</f>
        <v>0</v>
      </c>
      <c r="H272" s="140">
        <f>CHOOSE(IF($B$1=2,2,1),'GAAP-IFRS'!K60,IF('Broker Actual'!K60="-",'GAAP-IFRS'!K60,'Broker Actual'!K60))</f>
        <v>-145.4</v>
      </c>
      <c r="I272" s="140">
        <f>CHOOSE(IF($B$1=2,2,1),'GAAP-IFRS'!L60,IF('Broker Actual'!L60="-",'GAAP-IFRS'!L60,'Broker Actual'!L60))</f>
        <v>0</v>
      </c>
      <c r="J272" s="140">
        <f>CHOOSE(IF($B$1=2,2,1),'GAAP-IFRS'!M60,IF('Broker Actual'!M60="-",'GAAP-IFRS'!M60,'Broker Actual'!M60))</f>
        <v>0</v>
      </c>
      <c r="K272" s="140">
        <f>CHOOSE(IF($B$1=2,2,1),'GAAP-IFRS'!N60,IF('Broker Actual'!N60="-",'GAAP-IFRS'!N60,'Broker Actual'!N60))</f>
        <v>0</v>
      </c>
      <c r="L272" s="140">
        <f>CHOOSE(IF($B$1=2,2,1),'GAAP-IFRS'!O60,IF('Broker Actual'!O60="-",'GAAP-IFRS'!O60,'Broker Actual'!O60))</f>
        <v>0</v>
      </c>
      <c r="M272" s="139">
        <f>AVERAGE(L272)</f>
        <v>0</v>
      </c>
      <c r="N272" s="139">
        <f t="shared" ref="N272:Q272" si="137">AVERAGE(M272)</f>
        <v>0</v>
      </c>
      <c r="O272" s="139">
        <f t="shared" si="137"/>
        <v>0</v>
      </c>
      <c r="P272" s="139">
        <f t="shared" si="137"/>
        <v>0</v>
      </c>
      <c r="Q272" s="139">
        <f t="shared" si="137"/>
        <v>0</v>
      </c>
      <c r="R272" s="117"/>
      <c r="S272" s="117"/>
      <c r="T272" s="117"/>
      <c r="U272" s="118"/>
      <c r="V272" s="147" t="s">
        <v>78</v>
      </c>
      <c r="W272" s="147" t="s">
        <v>159</v>
      </c>
      <c r="X272" s="145" t="str" cm="1">
        <f t="array" ref="X272">_xll.FDSC("--",$A$1,""&amp;$V272&amp;"("&amp;$W272&amp;","&amp;D$2&amp;",ANNUAL_ROLL,+1,0,,,'CURRENCY="&amp;$E$1&amp;"')")</f>
        <v>--</v>
      </c>
      <c r="Y272" s="145" t="str" cm="1">
        <f t="array" ref="Y272">_xll.FDSC("--",$A$1,""&amp;$V272&amp;"("&amp;$W272&amp;","&amp;D$2&amp;",ANNUAL_ROLL,+2,0,,,'CURRENCY="&amp;$E$1&amp;"')")</f>
        <v>--</v>
      </c>
      <c r="Z272" s="145" t="str" cm="1">
        <f t="array" ref="Z272">_xll.FDSC("--",$A$1,""&amp;$V272&amp;"("&amp;$W272&amp;","&amp;D$2&amp;",ANNUAL_ROLL,+3,0,,,'CURRENCY="&amp;$E$1&amp;"')")</f>
        <v>--</v>
      </c>
      <c r="AA272" s="117"/>
      <c r="AB272" s="117"/>
      <c r="AC272" s="120"/>
    </row>
    <row r="273" spans="1:29" outlineLevel="1" x14ac:dyDescent="0.15">
      <c r="A273" s="183" t="s">
        <v>142</v>
      </c>
      <c r="B273" s="140">
        <f>CHOOSE(IF($B$1=2,2,1),'GAAP-IFRS'!E61,IF('Broker Actual'!E61="-",'GAAP-IFRS'!E61,'Broker Actual'!E61))</f>
        <v>0</v>
      </c>
      <c r="C273" s="140">
        <f>CHOOSE(IF($B$1=2,2,1),'GAAP-IFRS'!F61,IF('Broker Actual'!F61="-",'GAAP-IFRS'!F61,'Broker Actual'!F61))</f>
        <v>0</v>
      </c>
      <c r="D273" s="140">
        <f>CHOOSE(IF($B$1=2,2,1),'GAAP-IFRS'!G61,IF('Broker Actual'!G61="-",'GAAP-IFRS'!G61,'Broker Actual'!G61))</f>
        <v>0</v>
      </c>
      <c r="E273" s="140">
        <f>CHOOSE(IF($B$1=2,2,1),'GAAP-IFRS'!H61,IF('Broker Actual'!H61="-",'GAAP-IFRS'!H61,'Broker Actual'!H61))</f>
        <v>0</v>
      </c>
      <c r="F273" s="140">
        <f>CHOOSE(IF($B$1=2,2,1),'GAAP-IFRS'!I61,IF('Broker Actual'!I61="-",'GAAP-IFRS'!I61,'Broker Actual'!I61))</f>
        <v>0</v>
      </c>
      <c r="G273" s="140">
        <f>CHOOSE(IF($B$1=2,2,1),'GAAP-IFRS'!J61,IF('Broker Actual'!J61="-",'GAAP-IFRS'!J61,'Broker Actual'!J61))</f>
        <v>0</v>
      </c>
      <c r="H273" s="140">
        <f>CHOOSE(IF($B$1=2,2,1),'GAAP-IFRS'!K61,IF('Broker Actual'!K61="-",'GAAP-IFRS'!K61,'Broker Actual'!K61))</f>
        <v>0</v>
      </c>
      <c r="I273" s="140">
        <f>CHOOSE(IF($B$1=2,2,1),'GAAP-IFRS'!L61,IF('Broker Actual'!L61="-",'GAAP-IFRS'!L61,'Broker Actual'!L61))</f>
        <v>0</v>
      </c>
      <c r="J273" s="140">
        <f>CHOOSE(IF($B$1=2,2,1),'GAAP-IFRS'!M61,IF('Broker Actual'!M61="-",'GAAP-IFRS'!M61,'Broker Actual'!M61))</f>
        <v>0</v>
      </c>
      <c r="K273" s="140">
        <f>CHOOSE(IF($B$1=2,2,1),'GAAP-IFRS'!N61,IF('Broker Actual'!N61="-",'GAAP-IFRS'!N61,'Broker Actual'!N61))</f>
        <v>0</v>
      </c>
      <c r="L273" s="140">
        <f>CHOOSE(IF($B$1=2,2,1),'GAAP-IFRS'!O61,IF('Broker Actual'!O61="-",'GAAP-IFRS'!O61,'Broker Actual'!O61))</f>
        <v>0</v>
      </c>
      <c r="M273" s="139">
        <f>AVERAGE(I273:L273)</f>
        <v>0</v>
      </c>
      <c r="N273" s="139">
        <f t="shared" ref="N273:Q273" si="138">AVERAGE(J273:M273)</f>
        <v>0</v>
      </c>
      <c r="O273" s="139">
        <f t="shared" si="138"/>
        <v>0</v>
      </c>
      <c r="P273" s="139">
        <f t="shared" si="138"/>
        <v>0</v>
      </c>
      <c r="Q273" s="139">
        <f t="shared" si="138"/>
        <v>0</v>
      </c>
      <c r="R273" s="117"/>
      <c r="S273" s="117"/>
      <c r="T273" s="117"/>
      <c r="U273" s="118"/>
      <c r="V273" s="119"/>
      <c r="W273" s="119"/>
      <c r="X273" s="117"/>
      <c r="Y273" s="117"/>
      <c r="Z273" s="117"/>
      <c r="AA273" s="117"/>
      <c r="AB273" s="117"/>
      <c r="AC273" s="120"/>
    </row>
    <row r="274" spans="1:29" outlineLevel="1" x14ac:dyDescent="0.15">
      <c r="A274" s="186" t="s">
        <v>143</v>
      </c>
      <c r="B274" s="140"/>
      <c r="C274" s="140"/>
      <c r="D274" s="140"/>
      <c r="E274" s="140"/>
      <c r="F274" s="140"/>
      <c r="G274" s="140"/>
      <c r="H274" s="140"/>
      <c r="I274" s="140"/>
      <c r="J274" s="140"/>
      <c r="K274" s="140"/>
      <c r="L274" s="140"/>
      <c r="P274" s="117"/>
      <c r="Q274" s="117"/>
      <c r="R274" s="117"/>
      <c r="S274" s="117"/>
      <c r="T274" s="117"/>
      <c r="U274" s="118"/>
      <c r="V274" s="119"/>
      <c r="W274" s="119"/>
      <c r="X274" s="117"/>
      <c r="Y274" s="117"/>
      <c r="Z274" s="117"/>
      <c r="AA274" s="117"/>
      <c r="AB274" s="117"/>
      <c r="AC274" s="120"/>
    </row>
    <row r="275" spans="1:29" outlineLevel="1" x14ac:dyDescent="0.15">
      <c r="A275" s="184" t="s">
        <v>144</v>
      </c>
      <c r="B275" s="140">
        <f>CHOOSE(IF($B$1=2,2,1),'GAAP-IFRS'!E63,IF('Broker Actual'!E63="-",'GAAP-IFRS'!E63,'Broker Actual'!E63))</f>
        <v>-3946.7</v>
      </c>
      <c r="C275" s="140">
        <f>CHOOSE(IF($B$1=2,2,1),'GAAP-IFRS'!F63,IF('Broker Actual'!F63="-",'GAAP-IFRS'!F63,'Broker Actual'!F63))</f>
        <v>-3917.3</v>
      </c>
      <c r="D275" s="140">
        <f>CHOOSE(IF($B$1=2,2,1),'GAAP-IFRS'!G63,IF('Broker Actual'!G63="-",'GAAP-IFRS'!G63,'Broker Actual'!G63))</f>
        <v>-3272.9</v>
      </c>
      <c r="E275" s="140">
        <f>CHOOSE(IF($B$1=2,2,1),'GAAP-IFRS'!H63,IF('Broker Actual'!H63="-",'GAAP-IFRS'!H63,'Broker Actual'!H63))</f>
        <v>-4714.8</v>
      </c>
      <c r="F275" s="140">
        <f>CHOOSE(IF($B$1=2,2,1),'GAAP-IFRS'!I63,IF('Broker Actual'!I63="-",'GAAP-IFRS'!I63,'Broker Actual'!I63))</f>
        <v>-3938.8</v>
      </c>
      <c r="G275" s="140">
        <f>CHOOSE(IF($B$1=2,2,1),'GAAP-IFRS'!J63,IF('Broker Actual'!J63="-",'GAAP-IFRS'!J63,'Broker Actual'!J63))</f>
        <v>-3639.2</v>
      </c>
      <c r="H275" s="140">
        <f>CHOOSE(IF($B$1=2,2,1),'GAAP-IFRS'!K63,IF('Broker Actual'!K63="-",'GAAP-IFRS'!K63,'Broker Actual'!K63))</f>
        <v>-4484.8999999999996</v>
      </c>
      <c r="I275" s="140">
        <f>CHOOSE(IF($B$1=2,2,1),'GAAP-IFRS'!L63,IF('Broker Actual'!L63="-",'GAAP-IFRS'!L63,'Broker Actual'!L63))</f>
        <v>-4858.5</v>
      </c>
      <c r="J275" s="140">
        <f>CHOOSE(IF($B$1=2,2,1),'GAAP-IFRS'!M63,IF('Broker Actual'!M63="-",'GAAP-IFRS'!M63,'Broker Actual'!M63))</f>
        <v>-3743.3</v>
      </c>
      <c r="K275" s="140">
        <f>CHOOSE(IF($B$1=2,2,1),'GAAP-IFRS'!N63,IF('Broker Actual'!N63="-",'GAAP-IFRS'!N63,'Broker Actual'!N63))</f>
        <v>-4713.1000000000004</v>
      </c>
      <c r="L275" s="140">
        <f>CHOOSE(IF($B$1=2,2,1),'GAAP-IFRS'!O63,IF('Broker Actual'!O63="-",'GAAP-IFRS'!O63,'Broker Actual'!O63))</f>
        <v>-3340.8</v>
      </c>
      <c r="M275" s="139">
        <f>M276*M151</f>
        <v>-3718.1560102084968</v>
      </c>
      <c r="N275" s="139">
        <f t="shared" ref="N275:Q275" si="139">N276*N151</f>
        <v>-3790.3275329718317</v>
      </c>
      <c r="O275" s="139">
        <f t="shared" si="139"/>
        <v>-3900.5709705920426</v>
      </c>
      <c r="P275" s="139">
        <f t="shared" si="139"/>
        <v>-4061.2812255223339</v>
      </c>
      <c r="Q275" s="139">
        <f t="shared" si="139"/>
        <v>-4212.2560676077528</v>
      </c>
      <c r="R275" s="117"/>
      <c r="S275" s="117"/>
      <c r="T275" s="117"/>
      <c r="U275" s="118"/>
      <c r="V275" s="119"/>
      <c r="W275" s="119"/>
      <c r="X275" s="117"/>
      <c r="Y275" s="117"/>
      <c r="Z275" s="117"/>
      <c r="AA275" s="117"/>
      <c r="AB275" s="117"/>
      <c r="AC275" s="120"/>
    </row>
    <row r="276" spans="1:29" outlineLevel="1" x14ac:dyDescent="0.15">
      <c r="A276" s="483" t="s">
        <v>591</v>
      </c>
      <c r="B276" s="140"/>
      <c r="C276" s="300">
        <f>C275/C151</f>
        <v>-8.0083982590171909E-2</v>
      </c>
      <c r="D276" s="300">
        <f t="shared" ref="D276:L276" si="140">D275/D151</f>
        <v>-6.324762210275299E-2</v>
      </c>
      <c r="E276" s="300">
        <f t="shared" si="140"/>
        <v>-9.4251324872010669E-2</v>
      </c>
      <c r="F276" s="300">
        <f t="shared" si="140"/>
        <v>-7.7033652840063443E-2</v>
      </c>
      <c r="G276" s="300">
        <f t="shared" si="140"/>
        <v>-6.8607194027599724E-2</v>
      </c>
      <c r="H276" s="300">
        <f t="shared" si="140"/>
        <v>-8.8446307851288555E-2</v>
      </c>
      <c r="I276" s="300">
        <f t="shared" si="140"/>
        <v>-8.7134071870140911E-2</v>
      </c>
      <c r="J276" s="300">
        <f t="shared" si="140"/>
        <v>-7.1052606603585561E-2</v>
      </c>
      <c r="K276" s="300">
        <f t="shared" si="140"/>
        <v>-9.0375319029804238E-2</v>
      </c>
      <c r="L276" s="300">
        <f t="shared" si="140"/>
        <v>-7.6427001095801403E-2</v>
      </c>
      <c r="M276" s="485">
        <f>AVERAGE(H276:L276)</f>
        <v>-8.2687061290124139E-2</v>
      </c>
      <c r="N276" s="485">
        <f t="shared" ref="N276:O276" si="141">AVERAGE(I276:M276)</f>
        <v>-8.153521197789125E-2</v>
      </c>
      <c r="O276" s="485">
        <f t="shared" si="141"/>
        <v>-8.0415439999441327E-2</v>
      </c>
      <c r="P276" s="485">
        <f>O276</f>
        <v>-8.0415439999441327E-2</v>
      </c>
      <c r="Q276" s="485">
        <f t="shared" ref="Q276" si="142">P276</f>
        <v>-8.0415439999441327E-2</v>
      </c>
      <c r="R276" s="117"/>
      <c r="S276" s="117"/>
      <c r="T276" s="117"/>
      <c r="U276" s="118"/>
      <c r="V276" s="119"/>
      <c r="W276" s="119"/>
      <c r="X276" s="117"/>
      <c r="Y276" s="117"/>
      <c r="Z276" s="117"/>
      <c r="AA276" s="117"/>
      <c r="AB276" s="117"/>
      <c r="AC276" s="120"/>
    </row>
    <row r="277" spans="1:29" outlineLevel="1" x14ac:dyDescent="0.15">
      <c r="A277" s="184" t="s">
        <v>145</v>
      </c>
      <c r="B277" s="140">
        <f>CHOOSE(IF($B$1=2,2,1),'GAAP-IFRS'!E64,IF('Broker Actual'!E64="-",'GAAP-IFRS'!E64,'Broker Actual'!E64))</f>
        <v>2938.6</v>
      </c>
      <c r="C277" s="140">
        <f>CHOOSE(IF($B$1=2,2,1),'GAAP-IFRS'!F64,IF('Broker Actual'!F64="-",'GAAP-IFRS'!F64,'Broker Actual'!F64))</f>
        <v>3982.7</v>
      </c>
      <c r="D277" s="140">
        <f>CHOOSE(IF($B$1=2,2,1),'GAAP-IFRS'!G64,IF('Broker Actual'!G64="-",'GAAP-IFRS'!G64,'Broker Actual'!G64))</f>
        <v>2504.5</v>
      </c>
      <c r="E277" s="140">
        <f>CHOOSE(IF($B$1=2,2,1),'GAAP-IFRS'!H64,IF('Broker Actual'!H64="-",'GAAP-IFRS'!H64,'Broker Actual'!H64))</f>
        <v>3814.7</v>
      </c>
      <c r="F277" s="140">
        <f>CHOOSE(IF($B$1=2,2,1),'GAAP-IFRS'!I64,IF('Broker Actual'!I64="-",'GAAP-IFRS'!I64,'Broker Actual'!I64))</f>
        <v>3452.4</v>
      </c>
      <c r="G277" s="140">
        <f>CHOOSE(IF($B$1=2,2,1),'GAAP-IFRS'!J64,IF('Broker Actual'!J64="-",'GAAP-IFRS'!J64,'Broker Actual'!J64))</f>
        <v>3255</v>
      </c>
      <c r="H277" s="140">
        <f>CHOOSE(IF($B$1=2,2,1),'GAAP-IFRS'!K64,IF('Broker Actual'!K64="-",'GAAP-IFRS'!K64,'Broker Actual'!K64))</f>
        <v>4112.3999999999996</v>
      </c>
      <c r="I277" s="140">
        <f>CHOOSE(IF($B$1=2,2,1),'GAAP-IFRS'!L64,IF('Broker Actual'!L64="-",'GAAP-IFRS'!L64,'Broker Actual'!L64))</f>
        <v>3719.7</v>
      </c>
      <c r="J277" s="140">
        <f>CHOOSE(IF($B$1=2,2,1),'GAAP-IFRS'!M64,IF('Broker Actual'!M64="-",'GAAP-IFRS'!M64,'Broker Actual'!M64))</f>
        <v>3280.2</v>
      </c>
      <c r="K277" s="140">
        <f>CHOOSE(IF($B$1=2,2,1),'GAAP-IFRS'!N64,IF('Broker Actual'!N64="-",'GAAP-IFRS'!N64,'Broker Actual'!N64))</f>
        <v>3533.5</v>
      </c>
      <c r="L277" s="140">
        <f>CHOOSE(IF($B$1=2,2,1),'GAAP-IFRS'!O64,IF('Broker Actual'!O64="-",'GAAP-IFRS'!O64,'Broker Actual'!O64))</f>
        <v>2537.9</v>
      </c>
      <c r="M277" s="139">
        <f>M278*M151</f>
        <v>3020.7512257962217</v>
      </c>
      <c r="N277" s="139">
        <f t="shared" ref="N277:Q277" si="143">N278*N151</f>
        <v>2993.4442433041381</v>
      </c>
      <c r="O277" s="139">
        <f t="shared" si="143"/>
        <v>3100.925500326096</v>
      </c>
      <c r="P277" s="139">
        <f t="shared" si="143"/>
        <v>3245.5300702541322</v>
      </c>
      <c r="Q277" s="139">
        <f t="shared" si="143"/>
        <v>3142.8711209964281</v>
      </c>
      <c r="R277" s="117"/>
      <c r="S277" s="117"/>
      <c r="T277" s="117"/>
      <c r="U277" s="118"/>
      <c r="V277" s="119"/>
      <c r="W277" s="119"/>
      <c r="X277" s="117"/>
      <c r="Y277" s="117"/>
      <c r="Z277" s="117"/>
      <c r="AA277" s="117"/>
      <c r="AB277" s="117"/>
      <c r="AC277" s="120"/>
    </row>
    <row r="278" spans="1:29" outlineLevel="1" x14ac:dyDescent="0.15">
      <c r="A278" s="483" t="s">
        <v>591</v>
      </c>
      <c r="B278" s="140"/>
      <c r="C278" s="300">
        <f>C277/C151</f>
        <v>8.1420998509656561E-2</v>
      </c>
      <c r="D278" s="300">
        <f t="shared" ref="D278:L278" si="144">D277/D151</f>
        <v>4.8398566884519802E-2</v>
      </c>
      <c r="E278" s="300">
        <f t="shared" si="144"/>
        <v>7.6257853777309551E-2</v>
      </c>
      <c r="F278" s="300">
        <f t="shared" si="144"/>
        <v>6.7520814223884187E-2</v>
      </c>
      <c r="G278" s="300">
        <f t="shared" si="144"/>
        <v>6.1364150516552293E-2</v>
      </c>
      <c r="H278" s="300">
        <f t="shared" si="144"/>
        <v>8.1100268993208116E-2</v>
      </c>
      <c r="I278" s="300">
        <f t="shared" si="144"/>
        <v>6.6710426496935912E-2</v>
      </c>
      <c r="J278" s="300">
        <f t="shared" si="144"/>
        <v>6.226237816394127E-2</v>
      </c>
      <c r="K278" s="300">
        <f t="shared" si="144"/>
        <v>6.7756081940084714E-2</v>
      </c>
      <c r="L278" s="300">
        <f t="shared" si="144"/>
        <v>5.8059173276171695E-2</v>
      </c>
      <c r="M278" s="485">
        <f>AVERAGE(H278:L278)</f>
        <v>6.7177665774068335E-2</v>
      </c>
      <c r="N278" s="485">
        <f t="shared" ref="N278:P278" si="145">AVERAGE(I278:M278)</f>
        <v>6.4393145130240387E-2</v>
      </c>
      <c r="O278" s="485">
        <f t="shared" si="145"/>
        <v>6.3929688856901284E-2</v>
      </c>
      <c r="P278" s="485">
        <f t="shared" si="145"/>
        <v>6.426315099549329E-2</v>
      </c>
      <c r="Q278" s="485">
        <v>0.06</v>
      </c>
      <c r="R278" s="117"/>
      <c r="S278" s="117"/>
      <c r="T278" s="117"/>
      <c r="U278" s="118"/>
      <c r="V278" s="119"/>
      <c r="W278" s="119"/>
      <c r="X278" s="117"/>
      <c r="Y278" s="117"/>
      <c r="Z278" s="117"/>
      <c r="AA278" s="117"/>
      <c r="AB278" s="117"/>
      <c r="AC278" s="120"/>
    </row>
    <row r="279" spans="1:29" outlineLevel="1" x14ac:dyDescent="0.15">
      <c r="A279" s="186" t="s">
        <v>134</v>
      </c>
      <c r="B279" s="140"/>
      <c r="C279" s="140"/>
      <c r="D279" s="140"/>
      <c r="E279" s="140"/>
      <c r="F279" s="140"/>
      <c r="G279" s="140"/>
      <c r="H279" s="140"/>
      <c r="I279" s="140"/>
      <c r="J279" s="140"/>
      <c r="K279" s="140"/>
      <c r="L279" s="140"/>
      <c r="P279" s="117"/>
      <c r="Q279" s="117"/>
      <c r="R279" s="117"/>
      <c r="S279" s="117"/>
      <c r="T279" s="117"/>
      <c r="U279" s="118"/>
      <c r="V279" s="119" t="s">
        <v>78</v>
      </c>
      <c r="W279" s="119" t="s">
        <v>164</v>
      </c>
      <c r="X279" s="117" cm="1">
        <f t="array" ref="X279">_xll.FDSC("--",$A$1,""&amp;$V279&amp;"("&amp;$W279&amp;","&amp;D$2&amp;",ANNUAL_ROLL,+1,0,,,'CURRENCY="&amp;$E$1&amp;"')")</f>
        <v>193.21250000000001</v>
      </c>
      <c r="Y279" s="117" cm="1">
        <f t="array" ref="Y279">_xll.FDSC("--",$A$1,""&amp;$V279&amp;"("&amp;$W279&amp;","&amp;D$2&amp;",ANNUAL_ROLL,+2,0,,,'CURRENCY="&amp;$E$1&amp;"')")</f>
        <v>201.13300000000001</v>
      </c>
      <c r="Z279" s="117" t="str" cm="1">
        <f t="array" ref="Z279">_xll.FDSC("--",$A$1,""&amp;$V279&amp;"("&amp;$W279&amp;","&amp;D$2&amp;",ANNUAL_ROLL,+3,0,,,'CURRENCY="&amp;$E$1&amp;"')")</f>
        <v>--</v>
      </c>
      <c r="AA279" s="145"/>
      <c r="AB279" s="117"/>
      <c r="AC279" s="120"/>
    </row>
    <row r="280" spans="1:29" outlineLevel="1" x14ac:dyDescent="0.15">
      <c r="A280" s="184" t="s">
        <v>146</v>
      </c>
      <c r="B280" s="140">
        <f>CHOOSE(IF($B$1=2,2,1),'GAAP-IFRS'!E66,IF('Broker Actual'!E66="-",'GAAP-IFRS'!E66,'Broker Actual'!E66))</f>
        <v>-105.3</v>
      </c>
      <c r="C280" s="140">
        <f>CHOOSE(IF($B$1=2,2,1),'GAAP-IFRS'!F66,IF('Broker Actual'!F66="-",'GAAP-IFRS'!F66,'Broker Actual'!F66))</f>
        <v>0</v>
      </c>
      <c r="D280" s="140">
        <f>CHOOSE(IF($B$1=2,2,1),'GAAP-IFRS'!G66,IF('Broker Actual'!G66="-",'GAAP-IFRS'!G66,'Broker Actual'!G66))</f>
        <v>-3.7</v>
      </c>
      <c r="E280" s="140">
        <f>CHOOSE(IF($B$1=2,2,1),'GAAP-IFRS'!H66,IF('Broker Actual'!H66="-",'GAAP-IFRS'!H66,'Broker Actual'!H66))</f>
        <v>0</v>
      </c>
      <c r="F280" s="140">
        <f>CHOOSE(IF($B$1=2,2,1),'GAAP-IFRS'!I66,IF('Broker Actual'!I66="-",'GAAP-IFRS'!I66,'Broker Actual'!I66))</f>
        <v>-9.4</v>
      </c>
      <c r="G280" s="140">
        <f>CHOOSE(IF($B$1=2,2,1),'GAAP-IFRS'!J66,IF('Broker Actual'!J66="-",'GAAP-IFRS'!J66,'Broker Actual'!J66))</f>
        <v>-9.8000000000000007</v>
      </c>
      <c r="H280" s="140">
        <f>CHOOSE(IF($B$1=2,2,1),'GAAP-IFRS'!K66,IF('Broker Actual'!K66="-",'GAAP-IFRS'!K66,'Broker Actual'!K66))</f>
        <v>-268.10000000000002</v>
      </c>
      <c r="I280" s="140">
        <f>CHOOSE(IF($B$1=2,2,1),'GAAP-IFRS'!L66,IF('Broker Actual'!L66="-",'GAAP-IFRS'!L66,'Broker Actual'!L66))</f>
        <v>-103.8</v>
      </c>
      <c r="J280" s="140">
        <f>CHOOSE(IF($B$1=2,2,1),'GAAP-IFRS'!M66,IF('Broker Actual'!M66="-",'GAAP-IFRS'!M66,'Broker Actual'!M66))</f>
        <v>0</v>
      </c>
      <c r="K280" s="140">
        <f>CHOOSE(IF($B$1=2,2,1),'GAAP-IFRS'!N66,IF('Broker Actual'!N66="-",'GAAP-IFRS'!N66,'Broker Actual'!N66))</f>
        <v>-50.7</v>
      </c>
      <c r="L280" s="140">
        <f>CHOOSE(IF($B$1=2,2,1),'GAAP-IFRS'!O66,IF('Broker Actual'!O66="-",'GAAP-IFRS'!O66,'Broker Actual'!O66))</f>
        <v>-50.8</v>
      </c>
      <c r="M280" s="139">
        <v>0</v>
      </c>
      <c r="N280" s="139">
        <v>0</v>
      </c>
      <c r="O280" s="139">
        <v>0</v>
      </c>
      <c r="P280" s="139">
        <v>0</v>
      </c>
      <c r="Q280" s="139">
        <v>0</v>
      </c>
      <c r="R280" s="117"/>
      <c r="S280" s="117"/>
      <c r="T280" s="117"/>
      <c r="U280" s="118"/>
      <c r="AA280" s="117"/>
      <c r="AB280" s="117"/>
      <c r="AC280" s="120"/>
    </row>
    <row r="281" spans="1:29" s="108" customFormat="1" outlineLevel="1" x14ac:dyDescent="0.15">
      <c r="A281" s="184" t="s">
        <v>147</v>
      </c>
      <c r="B281" s="140">
        <f>CHOOSE(IF($B$1=2,2,1),'GAAP-IFRS'!E67,IF('Broker Actual'!E67="-",'GAAP-IFRS'!E67,'Broker Actual'!E67))</f>
        <v>0</v>
      </c>
      <c r="C281" s="140">
        <f>CHOOSE(IF($B$1=2,2,1),'GAAP-IFRS'!F67,IF('Broker Actual'!F67="-",'GAAP-IFRS'!F67,'Broker Actual'!F67))</f>
        <v>0.2</v>
      </c>
      <c r="D281" s="140">
        <f>CHOOSE(IF($B$1=2,2,1),'GAAP-IFRS'!G67,IF('Broker Actual'!G67="-",'GAAP-IFRS'!G67,'Broker Actual'!G67))</f>
        <v>0</v>
      </c>
      <c r="E281" s="140">
        <f>CHOOSE(IF($B$1=2,2,1),'GAAP-IFRS'!H67,IF('Broker Actual'!H67="-",'GAAP-IFRS'!H67,'Broker Actual'!H67))</f>
        <v>341.6</v>
      </c>
      <c r="F281" s="140">
        <f>CHOOSE(IF($B$1=2,2,1),'GAAP-IFRS'!I67,IF('Broker Actual'!I67="-",'GAAP-IFRS'!I67,'Broker Actual'!I67))</f>
        <v>0</v>
      </c>
      <c r="G281" s="140">
        <f>CHOOSE(IF($B$1=2,2,1),'GAAP-IFRS'!J67,IF('Broker Actual'!J67="-",'GAAP-IFRS'!J67,'Broker Actual'!J67))</f>
        <v>0</v>
      </c>
      <c r="H281" s="140">
        <f>CHOOSE(IF($B$1=2,2,1),'GAAP-IFRS'!K67,IF('Broker Actual'!K67="-",'GAAP-IFRS'!K67,'Broker Actual'!K67))</f>
        <v>0</v>
      </c>
      <c r="I281" s="140">
        <f>CHOOSE(IF($B$1=2,2,1),'GAAP-IFRS'!L67,IF('Broker Actual'!L67="-",'GAAP-IFRS'!L67,'Broker Actual'!L67))</f>
        <v>0</v>
      </c>
      <c r="J281" s="140">
        <f>CHOOSE(IF($B$1=2,2,1),'GAAP-IFRS'!M67,IF('Broker Actual'!M67="-",'GAAP-IFRS'!M67,'Broker Actual'!M67))</f>
        <v>314.5</v>
      </c>
      <c r="K281" s="140">
        <f>CHOOSE(IF($B$1=2,2,1),'GAAP-IFRS'!N67,IF('Broker Actual'!N67="-",'GAAP-IFRS'!N67,'Broker Actual'!N67))</f>
        <v>0</v>
      </c>
      <c r="L281" s="140">
        <f>CHOOSE(IF($B$1=2,2,1),'GAAP-IFRS'!O67,IF('Broker Actual'!O67="-",'GAAP-IFRS'!O67,'Broker Actual'!O67))</f>
        <v>0</v>
      </c>
      <c r="M281" s="139">
        <v>0</v>
      </c>
      <c r="N281" s="139">
        <v>0</v>
      </c>
      <c r="O281" s="139">
        <v>0</v>
      </c>
      <c r="P281" s="139">
        <v>0</v>
      </c>
      <c r="Q281" s="139">
        <v>0</v>
      </c>
      <c r="R281" s="145"/>
      <c r="S281" s="145"/>
      <c r="T281" s="145"/>
      <c r="U281" s="146"/>
      <c r="V281" s="77"/>
      <c r="W281" s="75"/>
      <c r="X281" s="75"/>
      <c r="Y281" s="75"/>
      <c r="Z281" s="75"/>
      <c r="AA281" s="117"/>
      <c r="AB281" s="145" cm="1">
        <f t="array" ref="AB281">_xll.FDSC("--",$A$1,"FF_OPER_CF(LTM_R,0,,,,"&amp;$E$1&amp;")@FF_OPER_CF(LTM_SEMI_R,0,,,,"&amp;$E$1&amp;")")</f>
        <v>1216.2</v>
      </c>
      <c r="AC281" s="158"/>
    </row>
    <row r="282" spans="1:29" s="108" customFormat="1" outlineLevel="1" x14ac:dyDescent="0.15">
      <c r="A282" s="108" t="s">
        <v>148</v>
      </c>
      <c r="B282" s="164">
        <f>CHOOSE(IF($B$1=2,2,1),'GAAP-IFRS'!E68,IF('Broker Actual'!E68="-",'GAAP-IFRS'!E68,'Broker Actual'!E68))</f>
        <v>-1113.4000000000001</v>
      </c>
      <c r="C282" s="164">
        <f>CHOOSE(IF($B$1=2,2,1),'GAAP-IFRS'!F68,IF('Broker Actual'!F68="-",'GAAP-IFRS'!F68,'Broker Actual'!F68))</f>
        <v>-39.9</v>
      </c>
      <c r="D282" s="164">
        <f>CHOOSE(IF($B$1=2,2,1),'GAAP-IFRS'!G68,IF('Broker Actual'!G68="-",'GAAP-IFRS'!G68,'Broker Actual'!G68))</f>
        <v>-886.6</v>
      </c>
      <c r="E282" s="164">
        <f>CHOOSE(IF($B$1=2,2,1),'GAAP-IFRS'!H68,IF('Broker Actual'!H68="-",'GAAP-IFRS'!H68,'Broker Actual'!H68))</f>
        <v>-713</v>
      </c>
      <c r="F282" s="164">
        <f>CHOOSE(IF($B$1=2,2,1),'GAAP-IFRS'!I68,IF('Broker Actual'!I68="-",'GAAP-IFRS'!I68,'Broker Actual'!I68))</f>
        <v>-710</v>
      </c>
      <c r="G282" s="164">
        <f>CHOOSE(IF($B$1=2,2,1),'GAAP-IFRS'!J68,IF('Broker Actual'!J68="-",'GAAP-IFRS'!J68,'Broker Actual'!J68))</f>
        <v>-499.3</v>
      </c>
      <c r="H282" s="164">
        <f>CHOOSE(IF($B$1=2,2,1),'GAAP-IFRS'!K68,IF('Broker Actual'!K68="-",'GAAP-IFRS'!K68,'Broker Actual'!K68))</f>
        <v>-930.1</v>
      </c>
      <c r="I282" s="164">
        <f>CHOOSE(IF($B$1=2,2,1),'GAAP-IFRS'!L68,IF('Broker Actual'!L68="-",'GAAP-IFRS'!L68,'Broker Actual'!L68))</f>
        <v>-1393.5</v>
      </c>
      <c r="J282" s="164">
        <f>CHOOSE(IF($B$1=2,2,1),'GAAP-IFRS'!M68,IF('Broker Actual'!M68="-",'GAAP-IFRS'!M68,'Broker Actual'!M68))</f>
        <v>-267.7</v>
      </c>
      <c r="K282" s="164">
        <f>CHOOSE(IF($B$1=2,2,1),'GAAP-IFRS'!N68,IF('Broker Actual'!N68="-",'GAAP-IFRS'!N68,'Broker Actual'!N68))</f>
        <v>-1340.6</v>
      </c>
      <c r="L282" s="164">
        <f>CHOOSE(IF($B$1=2,2,1),'GAAP-IFRS'!O68,IF('Broker Actual'!O68="-",'GAAP-IFRS'!O68,'Broker Actual'!O68))</f>
        <v>-955.9</v>
      </c>
      <c r="M282" s="139">
        <f>M281+M280+M277+M275+M270+M272+M273</f>
        <v>-821.86817542483391</v>
      </c>
      <c r="N282" s="139">
        <f t="shared" ref="N282:P282" si="146">N281+N280+N277+N275+N270+N272+N273</f>
        <v>-1008.2544083543543</v>
      </c>
      <c r="O282" s="139">
        <f t="shared" si="146"/>
        <v>-1018.1435264805548</v>
      </c>
      <c r="P282" s="139">
        <f t="shared" si="146"/>
        <v>-1111.2533588676397</v>
      </c>
      <c r="Q282" s="139">
        <f>Q281+Q280+Q277+Q275+Q270+Q272+Q273</f>
        <v>-1367.1340439425067</v>
      </c>
      <c r="R282" s="145"/>
      <c r="S282" s="145"/>
      <c r="T282" s="145"/>
      <c r="U282" s="146"/>
      <c r="V282" s="77"/>
      <c r="W282" s="75"/>
      <c r="X282" s="75"/>
      <c r="Y282" s="75"/>
      <c r="Z282" s="75"/>
      <c r="AA282" s="117"/>
      <c r="AB282" s="145"/>
      <c r="AC282" s="158"/>
    </row>
    <row r="283" spans="1:29" s="108" customFormat="1" outlineLevel="1" x14ac:dyDescent="0.15">
      <c r="A283" s="128" t="s">
        <v>110</v>
      </c>
      <c r="B283" s="138">
        <f>B282/B49</f>
        <v>-0.10588280046408126</v>
      </c>
      <c r="C283" s="138">
        <f t="shared" ref="C283:Q283" si="147">C282/C$49</f>
        <v>-3.8536575943131993E-3</v>
      </c>
      <c r="D283" s="138">
        <f t="shared" si="147"/>
        <v>-8.4360162516532347E-2</v>
      </c>
      <c r="E283" s="138">
        <f t="shared" si="147"/>
        <v>-6.6441158107591811E-2</v>
      </c>
      <c r="F283" s="138">
        <f t="shared" si="147"/>
        <v>-6.4273751867107223E-2</v>
      </c>
      <c r="G283" s="138">
        <f t="shared" si="147"/>
        <v>-4.4237516390828228E-2</v>
      </c>
      <c r="H283" s="138">
        <f t="shared" si="147"/>
        <v>-8.0191404060869942E-2</v>
      </c>
      <c r="I283" s="138">
        <f t="shared" si="147"/>
        <v>-0.11613564576752869</v>
      </c>
      <c r="J283" s="138">
        <f t="shared" si="147"/>
        <v>-2.03386997515594E-2</v>
      </c>
      <c r="K283" s="138">
        <f t="shared" si="147"/>
        <v>-0.11158834007557974</v>
      </c>
      <c r="L283" s="138">
        <f t="shared" si="147"/>
        <v>-7.9718121924776911E-2</v>
      </c>
      <c r="M283" s="138">
        <f t="shared" si="147"/>
        <v>-6.6032924921827399E-2</v>
      </c>
      <c r="N283" s="138">
        <f t="shared" si="147"/>
        <v>-7.1551005734776185E-2</v>
      </c>
      <c r="O283" s="138">
        <f t="shared" si="147"/>
        <v>-6.9896058398835628E-2</v>
      </c>
      <c r="P283" s="138">
        <f t="shared" si="147"/>
        <v>-7.5211172392743067E-2</v>
      </c>
      <c r="Q283" s="138">
        <f t="shared" si="147"/>
        <v>-9.1831280510776075E-2</v>
      </c>
      <c r="R283" s="145"/>
      <c r="S283" s="145"/>
      <c r="T283" s="145"/>
      <c r="U283" s="146"/>
      <c r="V283" s="77"/>
      <c r="W283" s="75"/>
      <c r="X283" s="75"/>
      <c r="Y283" s="75"/>
      <c r="Z283" s="75"/>
      <c r="AA283" s="117"/>
      <c r="AB283" s="145"/>
      <c r="AC283" s="158"/>
    </row>
    <row r="284" spans="1:29" s="108" customFormat="1" outlineLevel="1" x14ac:dyDescent="0.15">
      <c r="A284" s="78"/>
      <c r="B284" s="140"/>
      <c r="C284" s="140"/>
      <c r="D284" s="140"/>
      <c r="E284" s="140"/>
      <c r="F284" s="140"/>
      <c r="G284" s="140"/>
      <c r="H284" s="140"/>
      <c r="I284" s="140"/>
      <c r="J284" s="140"/>
      <c r="K284" s="140"/>
      <c r="L284" s="140"/>
      <c r="M284" s="75"/>
      <c r="N284" s="75"/>
      <c r="O284" s="75"/>
      <c r="P284" s="145"/>
      <c r="Q284" s="145"/>
      <c r="R284" s="145"/>
      <c r="S284" s="145"/>
      <c r="T284" s="145"/>
      <c r="U284" s="146"/>
      <c r="V284" s="77"/>
      <c r="W284" s="75"/>
      <c r="X284" s="75"/>
      <c r="Y284" s="75"/>
      <c r="Z284" s="75"/>
      <c r="AA284" s="117"/>
      <c r="AB284" s="145"/>
      <c r="AC284" s="158"/>
    </row>
    <row r="285" spans="1:29" outlineLevel="1" x14ac:dyDescent="0.15">
      <c r="A285" s="78" t="s">
        <v>150</v>
      </c>
      <c r="B285" s="142">
        <f t="shared" ref="B285:P285" si="148">B265+B282</f>
        <v>266.19999999999982</v>
      </c>
      <c r="C285" s="142">
        <f t="shared" si="148"/>
        <v>991.6</v>
      </c>
      <c r="D285" s="142">
        <f t="shared" si="148"/>
        <v>336.99999999999989</v>
      </c>
      <c r="E285" s="142">
        <f t="shared" si="148"/>
        <v>579.09999999999991</v>
      </c>
      <c r="F285" s="142">
        <f t="shared" si="148"/>
        <v>406.09999999999991</v>
      </c>
      <c r="G285" s="142">
        <f t="shared" si="148"/>
        <v>664.8</v>
      </c>
      <c r="H285" s="142">
        <f t="shared" si="148"/>
        <v>606.4</v>
      </c>
      <c r="I285" s="142">
        <f t="shared" si="148"/>
        <v>348.09999999999991</v>
      </c>
      <c r="J285" s="142">
        <f t="shared" si="148"/>
        <v>329.8</v>
      </c>
      <c r="K285" s="142">
        <f t="shared" si="148"/>
        <v>46.900000000000091</v>
      </c>
      <c r="L285" s="142">
        <f t="shared" si="148"/>
        <v>462.80000000000007</v>
      </c>
      <c r="M285" s="142">
        <f t="shared" si="148"/>
        <v>852.40756886202576</v>
      </c>
      <c r="N285" s="142">
        <f t="shared" si="148"/>
        <v>1600.3258739075945</v>
      </c>
      <c r="O285" s="142">
        <f t="shared" si="148"/>
        <v>1635.9869971585092</v>
      </c>
      <c r="P285" s="142">
        <f t="shared" si="148"/>
        <v>1210.0310738330659</v>
      </c>
      <c r="Q285" s="142">
        <f>Q265+Q282</f>
        <v>862.30475495068458</v>
      </c>
      <c r="R285" s="117"/>
      <c r="S285" s="117"/>
      <c r="T285" s="117"/>
      <c r="U285" s="194"/>
      <c r="AA285" s="117"/>
      <c r="AB285" s="117"/>
      <c r="AC285" s="120"/>
    </row>
    <row r="286" spans="1:29" outlineLevel="1" x14ac:dyDescent="0.15">
      <c r="A286" s="78" t="s">
        <v>151</v>
      </c>
      <c r="B286" s="142">
        <f t="shared" ref="B286:L286" si="149">B285+B291</f>
        <v>132.39999999999981</v>
      </c>
      <c r="C286" s="142">
        <f t="shared" si="149"/>
        <v>845.1</v>
      </c>
      <c r="D286" s="142">
        <f t="shared" si="149"/>
        <v>177.59999999999988</v>
      </c>
      <c r="E286" s="142">
        <f t="shared" si="149"/>
        <v>404.89999999999992</v>
      </c>
      <c r="F286" s="142">
        <f t="shared" si="149"/>
        <v>223.49999999999991</v>
      </c>
      <c r="G286" s="142">
        <f t="shared" si="149"/>
        <v>468.79999999999995</v>
      </c>
      <c r="H286" s="142">
        <f t="shared" si="149"/>
        <v>390.79999999999995</v>
      </c>
      <c r="I286" s="142">
        <f t="shared" si="149"/>
        <v>118.89999999999992</v>
      </c>
      <c r="J286" s="142">
        <f t="shared" si="149"/>
        <v>97.9</v>
      </c>
      <c r="K286" s="142">
        <f t="shared" si="149"/>
        <v>-192.49999999999991</v>
      </c>
      <c r="L286" s="142">
        <f t="shared" si="149"/>
        <v>208.60000000000008</v>
      </c>
      <c r="M286" s="142">
        <f>M285+M291</f>
        <v>544.27865472185727</v>
      </c>
      <c r="N286" s="142">
        <f t="shared" ref="N286:O286" si="150">N285+N291</f>
        <v>1191.3020570008186</v>
      </c>
      <c r="O286" s="142">
        <f t="shared" si="150"/>
        <v>1230.9653165663242</v>
      </c>
      <c r="P286" s="142">
        <f>P285+P291</f>
        <v>829.5445622840698</v>
      </c>
      <c r="Q286" s="142">
        <f>Q285+Q291</f>
        <v>491.93189394420835</v>
      </c>
      <c r="R286" s="117"/>
      <c r="S286" s="117"/>
      <c r="T286" s="117"/>
      <c r="U286" s="118"/>
      <c r="AA286" s="117"/>
      <c r="AB286" s="117" cm="1">
        <f t="array" ref="AB286">_xll.FDSC("--",$A$1,"FF_CAPEX_FIX(LTM_R,0,,,,"&amp;$E$1&amp;")@FF_CAPEX_FIX(LTM_SEMI_R,0,,,,"&amp;$E$1&amp;")")</f>
        <v>120.5</v>
      </c>
      <c r="AC286" s="120"/>
    </row>
    <row r="287" spans="1:29" outlineLevel="1" x14ac:dyDescent="0.15">
      <c r="A287" s="78" t="s">
        <v>152</v>
      </c>
      <c r="B287" s="117"/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369">
        <v>0.3</v>
      </c>
      <c r="N287" s="369">
        <v>0.3</v>
      </c>
      <c r="O287" s="369">
        <v>0.3</v>
      </c>
      <c r="P287" s="369">
        <v>0.3</v>
      </c>
      <c r="Q287" s="369">
        <v>0.3</v>
      </c>
      <c r="R287" s="117"/>
      <c r="S287" s="117"/>
      <c r="T287" s="117"/>
      <c r="U287" s="118"/>
      <c r="AB287" s="117"/>
      <c r="AC287" s="120"/>
    </row>
    <row r="288" spans="1:29" outlineLevel="1" x14ac:dyDescent="0.15">
      <c r="A288" s="78" t="s">
        <v>153</v>
      </c>
      <c r="B288" s="117"/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  <c r="M288" s="484">
        <f>1-M287</f>
        <v>0.7</v>
      </c>
      <c r="N288" s="484">
        <f t="shared" ref="N288:Q288" si="151">1-N287</f>
        <v>0.7</v>
      </c>
      <c r="O288" s="484">
        <f t="shared" si="151"/>
        <v>0.7</v>
      </c>
      <c r="P288" s="484">
        <f t="shared" si="151"/>
        <v>0.7</v>
      </c>
      <c r="Q288" s="484">
        <f t="shared" si="151"/>
        <v>0.7</v>
      </c>
      <c r="R288" s="117"/>
      <c r="S288" s="117"/>
      <c r="T288" s="117"/>
      <c r="U288" s="118"/>
      <c r="AB288" s="117"/>
      <c r="AC288" s="120"/>
    </row>
    <row r="289" spans="1:29" outlineLevel="1" x14ac:dyDescent="0.15">
      <c r="B289" s="117"/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P289" s="117"/>
      <c r="Q289" s="117"/>
      <c r="R289" s="117"/>
      <c r="S289" s="117"/>
      <c r="T289" s="117"/>
      <c r="U289" s="118"/>
      <c r="AB289" s="117"/>
      <c r="AC289" s="120"/>
    </row>
    <row r="290" spans="1:29" outlineLevel="1" x14ac:dyDescent="0.15">
      <c r="A290" s="108" t="s">
        <v>154</v>
      </c>
      <c r="B290" s="117"/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P290" s="117"/>
      <c r="Q290" s="117"/>
      <c r="R290" s="117"/>
      <c r="S290" s="117"/>
      <c r="T290" s="117"/>
      <c r="U290" s="118"/>
      <c r="AB290" s="117"/>
      <c r="AC290" s="120"/>
    </row>
    <row r="291" spans="1:29" outlineLevel="1" x14ac:dyDescent="0.15">
      <c r="A291" s="78" t="s">
        <v>155</v>
      </c>
      <c r="B291" s="140">
        <f>CHOOSE(IF($B$1=2,2,1),'GAAP-IFRS'!E71,IF('Broker Actual'!E71="-",'GAAP-IFRS'!E71,'Broker Actual'!E71))</f>
        <v>-133.80000000000001</v>
      </c>
      <c r="C291" s="140">
        <f>CHOOSE(IF($B$1=2,2,1),'GAAP-IFRS'!F71,IF('Broker Actual'!F71="-",'GAAP-IFRS'!F71,'Broker Actual'!F71))</f>
        <v>-146.5</v>
      </c>
      <c r="D291" s="140">
        <f>CHOOSE(IF($B$1=2,2,1),'GAAP-IFRS'!G71,IF('Broker Actual'!G71="-",'GAAP-IFRS'!G71,'Broker Actual'!G71))</f>
        <v>-159.4</v>
      </c>
      <c r="E291" s="140">
        <f>CHOOSE(IF($B$1=2,2,1),'GAAP-IFRS'!H71,IF('Broker Actual'!H71="-",'GAAP-IFRS'!H71,'Broker Actual'!H71))</f>
        <v>-174.2</v>
      </c>
      <c r="F291" s="140">
        <f>CHOOSE(IF($B$1=2,2,1),'GAAP-IFRS'!I71,IF('Broker Actual'!I71="-",'GAAP-IFRS'!I71,'Broker Actual'!I71))</f>
        <v>-182.6</v>
      </c>
      <c r="G291" s="140">
        <f>CHOOSE(IF($B$1=2,2,1),'GAAP-IFRS'!J71,IF('Broker Actual'!J71="-",'GAAP-IFRS'!J71,'Broker Actual'!J71))</f>
        <v>-196</v>
      </c>
      <c r="H291" s="140">
        <f>CHOOSE(IF($B$1=2,2,1),'GAAP-IFRS'!K71,IF('Broker Actual'!K71="-",'GAAP-IFRS'!K71,'Broker Actual'!K71))</f>
        <v>-215.6</v>
      </c>
      <c r="I291" s="140">
        <f>CHOOSE(IF($B$1=2,2,1),'GAAP-IFRS'!L71,IF('Broker Actual'!L71="-",'GAAP-IFRS'!L71,'Broker Actual'!L71))</f>
        <v>-229.2</v>
      </c>
      <c r="J291" s="140">
        <f>CHOOSE(IF($B$1=2,2,1),'GAAP-IFRS'!M71,IF('Broker Actual'!M71="-",'GAAP-IFRS'!M71,'Broker Actual'!M71))</f>
        <v>-231.9</v>
      </c>
      <c r="K291" s="140">
        <f>CHOOSE(IF($B$1=2,2,1),'GAAP-IFRS'!N71,IF('Broker Actual'!N71="-",'GAAP-IFRS'!N71,'Broker Actual'!N71))</f>
        <v>-239.4</v>
      </c>
      <c r="L291" s="140">
        <f>CHOOSE(IF($B$1=2,2,1),'GAAP-IFRS'!O71,IF('Broker Actual'!O71="-",'GAAP-IFRS'!O71,'Broker Actual'!O71))</f>
        <v>-254.2</v>
      </c>
      <c r="M291" s="139">
        <f>M292*M115</f>
        <v>-308.12891414016849</v>
      </c>
      <c r="N291" s="139">
        <f>N292*N115</f>
        <v>-409.02381690677583</v>
      </c>
      <c r="O291" s="139">
        <f>O292*O115</f>
        <v>-405.02168059218508</v>
      </c>
      <c r="P291" s="139">
        <f>P292*P115</f>
        <v>-380.48651154899602</v>
      </c>
      <c r="Q291" s="139">
        <f>Q292*Q115</f>
        <v>-370.37286100647623</v>
      </c>
      <c r="R291" s="117"/>
      <c r="S291" s="117"/>
      <c r="T291" s="117"/>
      <c r="U291" s="118"/>
      <c r="AB291" s="117"/>
      <c r="AC291" s="120"/>
    </row>
    <row r="292" spans="1:29" outlineLevel="1" x14ac:dyDescent="0.15">
      <c r="A292" s="78" t="s">
        <v>523</v>
      </c>
      <c r="B292" s="138">
        <f t="shared" ref="B292:L292" si="152">B291/B115</f>
        <v>-0.14959749552772811</v>
      </c>
      <c r="C292" s="138">
        <f t="shared" si="152"/>
        <v>-0.17072602260808764</v>
      </c>
      <c r="D292" s="138">
        <f t="shared" si="152"/>
        <v>-0.38558297048863088</v>
      </c>
      <c r="E292" s="138">
        <f t="shared" si="152"/>
        <v>-0.20089955022488754</v>
      </c>
      <c r="F292" s="138">
        <f t="shared" si="152"/>
        <v>-0.19604895855701096</v>
      </c>
      <c r="G292" s="138">
        <f t="shared" si="152"/>
        <v>-0.19714343190504927</v>
      </c>
      <c r="H292" s="138">
        <f t="shared" si="152"/>
        <v>-0.41192204814673289</v>
      </c>
      <c r="I292" s="138">
        <f t="shared" si="152"/>
        <v>-0.20830682541125148</v>
      </c>
      <c r="J292" s="138">
        <f t="shared" si="152"/>
        <v>-0.2306544658842252</v>
      </c>
      <c r="K292" s="138">
        <f t="shared" si="152"/>
        <v>-0.26877736611653757</v>
      </c>
      <c r="L292" s="138">
        <f t="shared" si="152"/>
        <v>-0.20266283983098143</v>
      </c>
      <c r="M292" s="486">
        <f>L292</f>
        <v>-0.20266283983098143</v>
      </c>
      <c r="N292" s="486">
        <f t="shared" ref="N292:Q292" si="153">M292</f>
        <v>-0.20266283983098143</v>
      </c>
      <c r="O292" s="486">
        <f t="shared" si="153"/>
        <v>-0.20266283983098143</v>
      </c>
      <c r="P292" s="486">
        <f t="shared" si="153"/>
        <v>-0.20266283983098143</v>
      </c>
      <c r="Q292" s="486">
        <f t="shared" si="153"/>
        <v>-0.20266283983098143</v>
      </c>
      <c r="R292" s="117"/>
      <c r="S292" s="117"/>
      <c r="T292" s="117"/>
      <c r="U292" s="118"/>
      <c r="AB292" s="117"/>
      <c r="AC292" s="120"/>
    </row>
    <row r="293" spans="1:29" outlineLevel="1" x14ac:dyDescent="0.15">
      <c r="A293" s="78" t="s">
        <v>156</v>
      </c>
      <c r="B293" s="140">
        <f>CHOOSE(IF($B$1=2,2,1),'GAAP-IFRS'!E72,IF('Broker Actual'!E72="-",'GAAP-IFRS'!E72,'Broker Actual'!E72))</f>
        <v>319.89999999999998</v>
      </c>
      <c r="C293" s="140">
        <f>CHOOSE(IF($B$1=2,2,1),'GAAP-IFRS'!F72,IF('Broker Actual'!F72="-",'GAAP-IFRS'!F72,'Broker Actual'!F72))</f>
        <v>-495.5</v>
      </c>
      <c r="D293" s="140">
        <f>CHOOSE(IF($B$1=2,2,1),'GAAP-IFRS'!G72,IF('Broker Actual'!G72="-",'GAAP-IFRS'!G72,'Broker Actual'!G72))</f>
        <v>160.6</v>
      </c>
      <c r="E293" s="140">
        <f>CHOOSE(IF($B$1=2,2,1),'GAAP-IFRS'!H72,IF('Broker Actual'!H72="-",'GAAP-IFRS'!H72,'Broker Actual'!H72))</f>
        <v>45.1</v>
      </c>
      <c r="F293" s="140">
        <f>CHOOSE(IF($B$1=2,2,1),'GAAP-IFRS'!I72,IF('Broker Actual'!I72="-",'GAAP-IFRS'!I72,'Broker Actual'!I72))</f>
        <v>195.1</v>
      </c>
      <c r="G293" s="140">
        <f>CHOOSE(IF($B$1=2,2,1),'GAAP-IFRS'!J72,IF('Broker Actual'!J72="-",'GAAP-IFRS'!J72,'Broker Actual'!J72))</f>
        <v>-63.5</v>
      </c>
      <c r="H293" s="140">
        <f>CHOOSE(IF($B$1=2,2,1),'GAAP-IFRS'!K72,IF('Broker Actual'!K72="-",'GAAP-IFRS'!K72,'Broker Actual'!K72))</f>
        <v>30.7</v>
      </c>
      <c r="I293" s="140">
        <f>CHOOSE(IF($B$1=2,2,1),'GAAP-IFRS'!L72,IF('Broker Actual'!L72="-",'GAAP-IFRS'!L72,'Broker Actual'!L72))</f>
        <v>348.8</v>
      </c>
      <c r="J293" s="140">
        <f>CHOOSE(IF($B$1=2,2,1),'GAAP-IFRS'!M72,IF('Broker Actual'!M72="-",'GAAP-IFRS'!M72,'Broker Actual'!M72))</f>
        <v>14.1</v>
      </c>
      <c r="K293" s="140">
        <f>CHOOSE(IF($B$1=2,2,1),'GAAP-IFRS'!N72,IF('Broker Actual'!N72="-",'GAAP-IFRS'!N72,'Broker Actual'!N72))</f>
        <v>88.1</v>
      </c>
      <c r="L293" s="140">
        <f>CHOOSE(IF($B$1=2,2,1),'GAAP-IFRS'!O72,IF('Broker Actual'!O72="-",'GAAP-IFRS'!O72,'Broker Actual'!O72))</f>
        <v>-14.8</v>
      </c>
      <c r="M293" s="139">
        <f>-M287*M286</f>
        <v>-163.28359641655717</v>
      </c>
      <c r="N293" s="139">
        <f t="shared" ref="N293:Q293" si="154">-N287*N286</f>
        <v>-357.39061710024561</v>
      </c>
      <c r="O293" s="139">
        <f t="shared" si="154"/>
        <v>-369.28959496989722</v>
      </c>
      <c r="P293" s="139">
        <f t="shared" si="154"/>
        <v>-248.86336868522093</v>
      </c>
      <c r="Q293" s="139">
        <f t="shared" si="154"/>
        <v>-147.5795681832625</v>
      </c>
      <c r="R293" s="117"/>
      <c r="S293" s="117"/>
      <c r="T293" s="117"/>
      <c r="U293" s="118"/>
      <c r="AB293" s="117"/>
      <c r="AC293" s="120"/>
    </row>
    <row r="294" spans="1:29" outlineLevel="1" x14ac:dyDescent="0.15">
      <c r="A294" s="78" t="s">
        <v>157</v>
      </c>
      <c r="B294" s="140">
        <f>CHOOSE(IF($B$1=2,2,1),'GAAP-IFRS'!E73,IF('Broker Actual'!E73="-",'GAAP-IFRS'!E73,'Broker Actual'!E73))</f>
        <v>-491.8</v>
      </c>
      <c r="C294" s="140">
        <f>CHOOSE(IF($B$1=2,2,1),'GAAP-IFRS'!F73,IF('Broker Actual'!F73="-",'GAAP-IFRS'!F73,'Broker Actual'!F73))</f>
        <v>-305.8</v>
      </c>
      <c r="D294" s="140">
        <f>CHOOSE(IF($B$1=2,2,1),'GAAP-IFRS'!G73,IF('Broker Actual'!G73="-",'GAAP-IFRS'!G73,'Broker Actual'!G73))</f>
        <v>-293.7</v>
      </c>
      <c r="E294" s="140">
        <f>CHOOSE(IF($B$1=2,2,1),'GAAP-IFRS'!H73,IF('Broker Actual'!H73="-",'GAAP-IFRS'!H73,'Broker Actual'!H73))</f>
        <v>-411.5</v>
      </c>
      <c r="F294" s="140">
        <f>CHOOSE(IF($B$1=2,2,1),'GAAP-IFRS'!I73,IF('Broker Actual'!I73="-",'GAAP-IFRS'!I73,'Broker Actual'!I73))</f>
        <v>-396.7</v>
      </c>
      <c r="G294" s="140">
        <f>CHOOSE(IF($B$1=2,2,1),'GAAP-IFRS'!J73,IF('Broker Actual'!J73="-",'GAAP-IFRS'!J73,'Broker Actual'!J73))</f>
        <v>-391</v>
      </c>
      <c r="H294" s="140">
        <f>CHOOSE(IF($B$1=2,2,1),'GAAP-IFRS'!K73,IF('Broker Actual'!K73="-",'GAAP-IFRS'!K73,'Broker Actual'!K73))</f>
        <v>-351.6</v>
      </c>
      <c r="I294" s="140">
        <f>CHOOSE(IF($B$1=2,2,1),'GAAP-IFRS'!L73,IF('Broker Actual'!L73="-",'GAAP-IFRS'!L73,'Broker Actual'!L73))</f>
        <v>-394.2</v>
      </c>
      <c r="J294" s="140">
        <f>CHOOSE(IF($B$1=2,2,1),'GAAP-IFRS'!M73,IF('Broker Actual'!M73="-",'GAAP-IFRS'!M73,'Broker Actual'!M73))</f>
        <v>4.4000000000000004</v>
      </c>
      <c r="K294" s="140">
        <f>CHOOSE(IF($B$1=2,2,1),'GAAP-IFRS'!N73,IF('Broker Actual'!N73="-",'GAAP-IFRS'!N73,'Broker Actual'!N73))</f>
        <v>-46.6</v>
      </c>
      <c r="L294" s="140">
        <f>CHOOSE(IF($B$1=2,2,1),'GAAP-IFRS'!O73,IF('Broker Actual'!O73="-",'GAAP-IFRS'!O73,'Broker Actual'!O73))</f>
        <v>-196.1</v>
      </c>
      <c r="M294" s="139">
        <f>-M286*M288</f>
        <v>-380.99505830530006</v>
      </c>
      <c r="N294" s="139">
        <f>-N286*N288</f>
        <v>-833.91143990057299</v>
      </c>
      <c r="O294" s="139">
        <f t="shared" ref="O294:P294" si="155">-O286*O288</f>
        <v>-861.67572159642691</v>
      </c>
      <c r="P294" s="139">
        <f t="shared" si="155"/>
        <v>-580.68119359884884</v>
      </c>
      <c r="Q294" s="139">
        <f>-Q286*Q288</f>
        <v>-344.3523257609458</v>
      </c>
      <c r="R294" s="117"/>
      <c r="S294" s="117"/>
      <c r="T294" s="117"/>
      <c r="U294" s="118"/>
      <c r="AB294" s="117"/>
      <c r="AC294" s="120"/>
    </row>
    <row r="295" spans="1:29" outlineLevel="1" x14ac:dyDescent="0.15">
      <c r="A295" s="78" t="s">
        <v>134</v>
      </c>
      <c r="B295" s="140">
        <f>CHOOSE(IF($B$1=2,2,1),'GAAP-IFRS'!E74,IF('Broker Actual'!E74="-",'GAAP-IFRS'!E74,'Broker Actual'!E74))</f>
        <v>0.2</v>
      </c>
      <c r="C295" s="140">
        <f>CHOOSE(IF($B$1=2,2,1),'GAAP-IFRS'!F74,IF('Broker Actual'!F74="-",'GAAP-IFRS'!F74,'Broker Actual'!F74))</f>
        <v>-27</v>
      </c>
      <c r="D295" s="140">
        <f>CHOOSE(IF($B$1=2,2,1),'GAAP-IFRS'!G74,IF('Broker Actual'!G74="-",'GAAP-IFRS'!G74,'Broker Actual'!G74))</f>
        <v>-36.1</v>
      </c>
      <c r="E295" s="140">
        <f>CHOOSE(IF($B$1=2,2,1),'GAAP-IFRS'!H74,IF('Broker Actual'!H74="-",'GAAP-IFRS'!H74,'Broker Actual'!H74))</f>
        <v>-28.1</v>
      </c>
      <c r="F295" s="140">
        <f>CHOOSE(IF($B$1=2,2,1),'GAAP-IFRS'!I74,IF('Broker Actual'!I74="-",'GAAP-IFRS'!I74,'Broker Actual'!I74))</f>
        <v>-34.4</v>
      </c>
      <c r="G295" s="140">
        <f>CHOOSE(IF($B$1=2,2,1),'GAAP-IFRS'!J74,IF('Broker Actual'!J74="-",'GAAP-IFRS'!J74,'Broker Actual'!J74))</f>
        <v>-37.299999999999997</v>
      </c>
      <c r="H295" s="140">
        <f>CHOOSE(IF($B$1=2,2,1),'GAAP-IFRS'!K74,IF('Broker Actual'!K74="-",'GAAP-IFRS'!K74,'Broker Actual'!K74))</f>
        <v>-53.3</v>
      </c>
      <c r="I295" s="140">
        <f>CHOOSE(IF($B$1=2,2,1),'GAAP-IFRS'!L74,IF('Broker Actual'!L74="-",'GAAP-IFRS'!L74,'Broker Actual'!L74))</f>
        <v>-83.4</v>
      </c>
      <c r="J295" s="140">
        <f>CHOOSE(IF($B$1=2,2,1),'GAAP-IFRS'!M74,IF('Broker Actual'!M74="-",'GAAP-IFRS'!M74,'Broker Actual'!M74))</f>
        <v>-3.5</v>
      </c>
      <c r="K295" s="140">
        <f>CHOOSE(IF($B$1=2,2,1),'GAAP-IFRS'!N74,IF('Broker Actual'!N74="-",'GAAP-IFRS'!N74,'Broker Actual'!N74))</f>
        <v>29</v>
      </c>
      <c r="L295" s="140">
        <f>CHOOSE(IF($B$1=2,2,1),'GAAP-IFRS'!O74,IF('Broker Actual'!O74="-",'GAAP-IFRS'!O74,'Broker Actual'!O74))</f>
        <v>46.5</v>
      </c>
      <c r="M295" s="434">
        <f>AVERAGE(H295:L295)</f>
        <v>-12.939999999999998</v>
      </c>
      <c r="N295" s="434">
        <f t="shared" ref="N295:Q295" si="156">AVERAGE(I295:M295)</f>
        <v>-4.8680000000000003</v>
      </c>
      <c r="O295" s="434">
        <f t="shared" si="156"/>
        <v>10.8384</v>
      </c>
      <c r="P295" s="434">
        <f t="shared" si="156"/>
        <v>13.70608</v>
      </c>
      <c r="Q295" s="434">
        <f t="shared" si="156"/>
        <v>10.647296000000001</v>
      </c>
      <c r="R295" s="117"/>
      <c r="S295" s="117"/>
      <c r="T295" s="117"/>
      <c r="U295" s="118"/>
      <c r="AB295" s="117"/>
      <c r="AC295" s="120"/>
    </row>
    <row r="296" spans="1:29" s="108" customFormat="1" outlineLevel="1" x14ac:dyDescent="0.15">
      <c r="A296" s="108" t="s">
        <v>158</v>
      </c>
      <c r="B296" s="164">
        <f>CHOOSE(IF($B$1=2,2,1),'GAAP-IFRS'!E75,IF('Broker Actual'!E75="-",'GAAP-IFRS'!E75,'Broker Actual'!E75))</f>
        <v>-305.5</v>
      </c>
      <c r="C296" s="164">
        <f>CHOOSE(IF($B$1=2,2,1),'GAAP-IFRS'!F75,IF('Broker Actual'!F75="-",'GAAP-IFRS'!F75,'Broker Actual'!F75))</f>
        <v>-974.8</v>
      </c>
      <c r="D296" s="164">
        <f>CHOOSE(IF($B$1=2,2,1),'GAAP-IFRS'!G75,IF('Broker Actual'!G75="-",'GAAP-IFRS'!G75,'Broker Actual'!G75))</f>
        <v>-328.6</v>
      </c>
      <c r="E296" s="164">
        <f>CHOOSE(IF($B$1=2,2,1),'GAAP-IFRS'!H75,IF('Broker Actual'!H75="-",'GAAP-IFRS'!H75,'Broker Actual'!H75))</f>
        <v>-704.5</v>
      </c>
      <c r="F296" s="164">
        <f>CHOOSE(IF($B$1=2,2,1),'GAAP-IFRS'!I75,IF('Broker Actual'!I75="-",'GAAP-IFRS'!I75,'Broker Actual'!I75))</f>
        <v>-418.6</v>
      </c>
      <c r="G296" s="164">
        <f>CHOOSE(IF($B$1=2,2,1),'GAAP-IFRS'!J75,IF('Broker Actual'!J75="-",'GAAP-IFRS'!J75,'Broker Actual'!J75))</f>
        <v>-687.8</v>
      </c>
      <c r="H296" s="164">
        <f>CHOOSE(IF($B$1=2,2,1),'GAAP-IFRS'!K75,IF('Broker Actual'!K75="-",'GAAP-IFRS'!K75,'Broker Actual'!K75))</f>
        <v>-589.79999999999995</v>
      </c>
      <c r="I296" s="164">
        <f>CHOOSE(IF($B$1=2,2,1),'GAAP-IFRS'!L75,IF('Broker Actual'!L75="-",'GAAP-IFRS'!L75,'Broker Actual'!L75))</f>
        <v>-358</v>
      </c>
      <c r="J296" s="164">
        <f>CHOOSE(IF($B$1=2,2,1),'GAAP-IFRS'!M75,IF('Broker Actual'!M75="-",'GAAP-IFRS'!M75,'Broker Actual'!M75))</f>
        <v>-216.9</v>
      </c>
      <c r="K296" s="164">
        <f>CHOOSE(IF($B$1=2,2,1),'GAAP-IFRS'!N75,IF('Broker Actual'!N75="-",'GAAP-IFRS'!N75,'Broker Actual'!N75))</f>
        <v>-168.9</v>
      </c>
      <c r="L296" s="164">
        <f>CHOOSE(IF($B$1=2,2,1),'GAAP-IFRS'!O75,IF('Broker Actual'!O75="-",'GAAP-IFRS'!O75,'Broker Actual'!O75))</f>
        <v>-418.6</v>
      </c>
      <c r="M296" s="139">
        <f>M295+M294+M293+M291</f>
        <v>-865.3475688620257</v>
      </c>
      <c r="N296" s="139">
        <f t="shared" ref="N296:Q296" si="157">N295+N294+N293+N291</f>
        <v>-1605.1938739075945</v>
      </c>
      <c r="O296" s="139">
        <f t="shared" si="157"/>
        <v>-1625.1485971585091</v>
      </c>
      <c r="P296" s="139">
        <f t="shared" si="157"/>
        <v>-1196.3249938330657</v>
      </c>
      <c r="Q296" s="139">
        <f t="shared" si="157"/>
        <v>-851.65745895068449</v>
      </c>
      <c r="R296" s="145"/>
      <c r="S296" s="145"/>
      <c r="T296" s="145"/>
      <c r="U296" s="146"/>
      <c r="V296" s="77"/>
      <c r="W296" s="75"/>
      <c r="X296" s="75"/>
      <c r="Y296" s="75"/>
      <c r="Z296" s="75"/>
      <c r="AA296" s="78"/>
      <c r="AB296" s="145" cm="1">
        <f t="array" ref="AB296">_xll.FDSC("--",$A$1,"FF_INVEST_CF(LTM_R,0,,,,"&amp;$E$1&amp;")@FF_INVEST_CF(LTM_SEMI_R,0,,,,"&amp;$E$1&amp;")")</f>
        <v>-763.3</v>
      </c>
      <c r="AC296" s="158"/>
    </row>
    <row r="297" spans="1:29" outlineLevel="1" x14ac:dyDescent="0.15">
      <c r="B297" s="117"/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P297" s="117"/>
      <c r="Q297" s="117"/>
      <c r="R297" s="117"/>
      <c r="S297" s="117"/>
      <c r="T297" s="117"/>
      <c r="U297" s="118"/>
      <c r="AB297" s="117"/>
      <c r="AC297" s="120"/>
    </row>
    <row r="298" spans="1:29" outlineLevel="1" x14ac:dyDescent="0.15">
      <c r="A298" s="108" t="s">
        <v>160</v>
      </c>
      <c r="B298" s="140"/>
      <c r="C298" s="140"/>
      <c r="D298" s="140"/>
      <c r="E298" s="140"/>
      <c r="F298" s="140"/>
      <c r="G298" s="140"/>
      <c r="H298" s="140"/>
      <c r="I298" s="140"/>
      <c r="J298" s="140"/>
      <c r="K298" s="140"/>
      <c r="L298" s="140"/>
      <c r="P298" s="117"/>
      <c r="Q298" s="117"/>
      <c r="R298" s="117"/>
      <c r="S298" s="117"/>
      <c r="T298" s="117"/>
      <c r="U298" s="194"/>
      <c r="AB298" s="117"/>
      <c r="AC298" s="120"/>
    </row>
    <row r="299" spans="1:29" outlineLevel="1" x14ac:dyDescent="0.15">
      <c r="A299" s="78" t="s">
        <v>161</v>
      </c>
      <c r="B299" s="140" t="str">
        <f>CHOOSE(IF($B$1=2,2,1),'GAAP-IFRS'!E78,IF('Broker Actual'!E78="-",'GAAP-IFRS'!E78,'Broker Actual'!E78))</f>
        <v/>
      </c>
      <c r="C299" s="140" t="str">
        <f>CHOOSE(IF($B$1=2,2,1),'GAAP-IFRS'!F78,IF('Broker Actual'!F78="-",'GAAP-IFRS'!F78,'Broker Actual'!F78))</f>
        <v/>
      </c>
      <c r="D299" s="140" t="str">
        <f>CHOOSE(IF($B$1=2,2,1),'GAAP-IFRS'!G78,IF('Broker Actual'!G78="-",'GAAP-IFRS'!G78,'Broker Actual'!G78))</f>
        <v/>
      </c>
      <c r="E299" s="140" t="str">
        <f>CHOOSE(IF($B$1=2,2,1),'GAAP-IFRS'!H78,IF('Broker Actual'!H78="-",'GAAP-IFRS'!H78,'Broker Actual'!H78))</f>
        <v/>
      </c>
      <c r="F299" s="140" t="str">
        <f>CHOOSE(IF($B$1=2,2,1),'GAAP-IFRS'!I78,IF('Broker Actual'!I78="-",'GAAP-IFRS'!I78,'Broker Actual'!I78))</f>
        <v/>
      </c>
      <c r="G299" s="140" t="str">
        <f>CHOOSE(IF($B$1=2,2,1),'GAAP-IFRS'!J78,IF('Broker Actual'!J78="-",'GAAP-IFRS'!J78,'Broker Actual'!J78))</f>
        <v/>
      </c>
      <c r="H299" s="140" t="str">
        <f>CHOOSE(IF($B$1=2,2,1),'GAAP-IFRS'!K78,IF('Broker Actual'!K78="-",'GAAP-IFRS'!K78,'Broker Actual'!K78))</f>
        <v/>
      </c>
      <c r="I299" s="140" t="str">
        <f>CHOOSE(IF($B$1=2,2,1),'GAAP-IFRS'!L78,IF('Broker Actual'!L78="-",'GAAP-IFRS'!L78,'Broker Actual'!L78))</f>
        <v/>
      </c>
      <c r="J299" s="140" t="str">
        <f>CHOOSE(IF($B$1=2,2,1),'GAAP-IFRS'!M78,IF('Broker Actual'!M78="-",'GAAP-IFRS'!M78,'Broker Actual'!M78))</f>
        <v/>
      </c>
      <c r="K299" s="140" t="str">
        <f>CHOOSE(IF($B$1=2,2,1),'GAAP-IFRS'!N78,IF('Broker Actual'!N78="-",'GAAP-IFRS'!N78,'Broker Actual'!N78))</f>
        <v/>
      </c>
      <c r="L299" s="140" t="str">
        <f>CHOOSE(IF($B$1=2,2,1),'GAAP-IFRS'!O78,IF('Broker Actual'!O78="-",'GAAP-IFRS'!O78,'Broker Actual'!O78))</f>
        <v/>
      </c>
      <c r="P299" s="117"/>
      <c r="Q299" s="117"/>
      <c r="R299" s="117"/>
      <c r="S299" s="117"/>
      <c r="T299" s="117"/>
      <c r="U299" s="118"/>
      <c r="AB299" s="117"/>
      <c r="AC299" s="120"/>
    </row>
    <row r="300" spans="1:29" outlineLevel="1" x14ac:dyDescent="0.15">
      <c r="A300" s="78" t="s">
        <v>162</v>
      </c>
      <c r="B300" s="140">
        <f>CHOOSE(IF($B$1=2,2,1),'GAAP-IFRS'!E79,IF('Broker Actual'!E79="-",'GAAP-IFRS'!E79,'Broker Actual'!E79))</f>
        <v>-39.299999999999997</v>
      </c>
      <c r="C300" s="140">
        <f>CHOOSE(IF($B$1=2,2,1),'GAAP-IFRS'!F79,IF('Broker Actual'!F79="-",'GAAP-IFRS'!F79,'Broker Actual'!F79))</f>
        <v>16.8</v>
      </c>
      <c r="D300" s="140">
        <f>CHOOSE(IF($B$1=2,2,1),'GAAP-IFRS'!G79,IF('Broker Actual'!G79="-",'GAAP-IFRS'!G79,'Broker Actual'!G79))</f>
        <v>8.4</v>
      </c>
      <c r="E300" s="140">
        <f>CHOOSE(IF($B$1=2,2,1),'GAAP-IFRS'!H79,IF('Broker Actual'!H79="-",'GAAP-IFRS'!H79,'Broker Actual'!H79))</f>
        <v>10.4</v>
      </c>
      <c r="F300" s="140">
        <f>CHOOSE(IF($B$1=2,2,1),'GAAP-IFRS'!I79,IF('Broker Actual'!I79="-",'GAAP-IFRS'!I79,'Broker Actual'!I79))</f>
        <v>-12.5</v>
      </c>
      <c r="G300" s="140">
        <f>CHOOSE(IF($B$1=2,2,1),'GAAP-IFRS'!J79,IF('Broker Actual'!J79="-",'GAAP-IFRS'!J79,'Broker Actual'!J79))</f>
        <v>-23</v>
      </c>
      <c r="H300" s="140">
        <f>CHOOSE(IF($B$1=2,2,1),'GAAP-IFRS'!K79,IF('Broker Actual'!K79="-",'GAAP-IFRS'!K79,'Broker Actual'!K79))</f>
        <v>16.600000000000001</v>
      </c>
      <c r="I300" s="140">
        <f>CHOOSE(IF($B$1=2,2,1),'GAAP-IFRS'!L79,IF('Broker Actual'!L79="-",'GAAP-IFRS'!L79,'Broker Actual'!L79))</f>
        <v>-9.9</v>
      </c>
      <c r="J300" s="140">
        <f>CHOOSE(IF($B$1=2,2,1),'GAAP-IFRS'!M79,IF('Broker Actual'!M79="-",'GAAP-IFRS'!M79,'Broker Actual'!M79))</f>
        <v>112.9</v>
      </c>
      <c r="K300" s="140">
        <f>CHOOSE(IF($B$1=2,2,1),'GAAP-IFRS'!N79,IF('Broker Actual'!N79="-",'GAAP-IFRS'!N79,'Broker Actual'!N79))</f>
        <v>-122</v>
      </c>
      <c r="L300" s="140">
        <f>CHOOSE(IF($B$1=2,2,1),'GAAP-IFRS'!O79,IF('Broker Actual'!O79="-",'GAAP-IFRS'!O79,'Broker Actual'!O79))</f>
        <v>44.2</v>
      </c>
      <c r="M300" s="434"/>
      <c r="N300" s="434"/>
      <c r="O300" s="434"/>
      <c r="P300" s="434"/>
      <c r="Q300" s="434"/>
      <c r="R300" s="117"/>
      <c r="S300" s="117"/>
      <c r="T300" s="117"/>
      <c r="U300" s="118"/>
      <c r="AB300" s="117"/>
      <c r="AC300" s="120"/>
    </row>
    <row r="301" spans="1:29" outlineLevel="1" x14ac:dyDescent="0.15">
      <c r="A301" s="78" t="s">
        <v>163</v>
      </c>
      <c r="B301" s="140">
        <f>CHOOSE(IF($B$1=2,2,1),'GAAP-IFRS'!E80,IF('Broker Actual'!E80="-",'GAAP-IFRS'!E80,'Broker Actual'!E80))</f>
        <v>1245.8</v>
      </c>
      <c r="C301" s="140">
        <f>CHOOSE(IF($B$1=2,2,1),'GAAP-IFRS'!F80,IF('Broker Actual'!F80="-",'GAAP-IFRS'!F80,'Broker Actual'!F80))</f>
        <v>779.5</v>
      </c>
      <c r="D301" s="140">
        <f>CHOOSE(IF($B$1=2,2,1),'GAAP-IFRS'!G80,IF('Broker Actual'!G80="-",'GAAP-IFRS'!G80,'Broker Actual'!G80))</f>
        <v>949.7</v>
      </c>
      <c r="E301" s="140">
        <f>CHOOSE(IF($B$1=2,2,1),'GAAP-IFRS'!H80,IF('Broker Actual'!H80="-",'GAAP-IFRS'!H80,'Broker Actual'!H80))</f>
        <v>1017.7</v>
      </c>
      <c r="F301" s="140">
        <f>CHOOSE(IF($B$1=2,2,1),'GAAP-IFRS'!I80,IF('Broker Actual'!I80="-",'GAAP-IFRS'!I80,'Broker Actual'!I80))</f>
        <v>848.5</v>
      </c>
      <c r="G301" s="140">
        <f>CHOOSE(IF($B$1=2,2,1),'GAAP-IFRS'!J80,IF('Broker Actual'!J80="-",'GAAP-IFRS'!J80,'Broker Actual'!J80))</f>
        <v>862.8</v>
      </c>
      <c r="H301" s="140">
        <f>CHOOSE(IF($B$1=2,2,1),'GAAP-IFRS'!K80,IF('Broker Actual'!K80="-",'GAAP-IFRS'!K80,'Broker Actual'!K80))</f>
        <v>1176.8</v>
      </c>
      <c r="I301" s="140">
        <f>CHOOSE(IF($B$1=2,2,1),'GAAP-IFRS'!L80,IF('Broker Actual'!L80="-",'GAAP-IFRS'!L80,'Broker Actual'!L80))</f>
        <v>1361.5</v>
      </c>
      <c r="J301" s="140">
        <f>CHOOSE(IF($B$1=2,2,1),'GAAP-IFRS'!M80,IF('Broker Actual'!M80="-",'GAAP-IFRS'!M80,'Broker Actual'!M80))</f>
        <v>246.5</v>
      </c>
      <c r="K301" s="140">
        <f>CHOOSE(IF($B$1=2,2,1),'GAAP-IFRS'!N80,IF('Broker Actual'!N80="-",'GAAP-IFRS'!N80,'Broker Actual'!N80))</f>
        <v>169.11019999999999</v>
      </c>
      <c r="L301" s="140">
        <f>CHOOSE(IF($B$1=2,2,1),'GAAP-IFRS'!O80,IF('Broker Actual'!O80="-",'GAAP-IFRS'!O80,'Broker Actual'!O80))</f>
        <v>178.64439999999999</v>
      </c>
      <c r="M301" s="139"/>
      <c r="N301" s="139"/>
      <c r="O301" s="139"/>
      <c r="P301" s="139"/>
      <c r="Q301" s="139"/>
      <c r="R301" s="117"/>
      <c r="S301" s="117"/>
      <c r="T301" s="117"/>
      <c r="U301" s="118"/>
      <c r="AB301" s="117"/>
      <c r="AC301" s="120"/>
    </row>
    <row r="302" spans="1:29" outlineLevel="1" x14ac:dyDescent="0.15">
      <c r="A302" s="78" t="s">
        <v>165</v>
      </c>
      <c r="B302" s="195">
        <f>CHOOSE(IF($B$1=2,2,1),'GAAP-IFRS'!E81,IF('Broker Actual'!E81="-",'GAAP-IFRS'!E81,'Broker Actual'!E81))</f>
        <v>4.4215436859021704</v>
      </c>
      <c r="C302" s="195">
        <f>CHOOSE(IF($B$1=2,2,1),'GAAP-IFRS'!F81,IF('Broker Actual'!F81="-",'GAAP-IFRS'!F81,'Broker Actual'!F81))</f>
        <v>2.9310108847855201</v>
      </c>
      <c r="D302" s="195">
        <f>CHOOSE(IF($B$1=2,2,1),'GAAP-IFRS'!G81,IF('Broker Actual'!G81="-",'GAAP-IFRS'!G81,'Broker Actual'!G81))</f>
        <v>3.7003297840506701</v>
      </c>
      <c r="E302" s="195">
        <f>CHOOSE(IF($B$1=2,2,1),'GAAP-IFRS'!H81,IF('Broker Actual'!H81="-",'GAAP-IFRS'!H81,'Broker Actual'!H81))</f>
        <v>4.1060347050106403</v>
      </c>
      <c r="F302" s="195">
        <f>CHOOSE(IF($B$1=2,2,1),'GAAP-IFRS'!I81,IF('Broker Actual'!I81="-",'GAAP-IFRS'!I81,'Broker Actual'!I81))</f>
        <v>3.59565588831558</v>
      </c>
      <c r="G302" s="195">
        <f>CHOOSE(IF($B$1=2,2,1),'GAAP-IFRS'!J81,IF('Broker Actual'!J81="-",'GAAP-IFRS'!J81,'Broker Actual'!J81))</f>
        <v>3.7952767543257702</v>
      </c>
      <c r="H302" s="195">
        <f>CHOOSE(IF($B$1=2,2,1),'GAAP-IFRS'!K81,IF('Broker Actual'!K81="-",'GAAP-IFRS'!K81,'Broker Actual'!K81))</f>
        <v>5.3476664851998503</v>
      </c>
      <c r="I302" s="195">
        <f>CHOOSE(IF($B$1=2,2,1),'GAAP-IFRS'!L81,IF('Broker Actual'!L81="-",'GAAP-IFRS'!L81,'Broker Actual'!L81))</f>
        <v>6.4878315632171599</v>
      </c>
      <c r="J302" s="195">
        <f>CHOOSE(IF($B$1=2,2,1),'GAAP-IFRS'!M81,IF('Broker Actual'!M81="-",'GAAP-IFRS'!M81,'Broker Actual'!M81))</f>
        <v>1.2097844816797401</v>
      </c>
      <c r="K302" s="195">
        <f>CHOOSE(IF($B$1=2,2,1),'GAAP-IFRS'!N81,IF('Broker Actual'!N81="-",'GAAP-IFRS'!N81,'Broker Actual'!N81))</f>
        <v>5.06619789609754</v>
      </c>
      <c r="L302" s="195">
        <f>CHOOSE(IF($B$1=2,2,1),'GAAP-IFRS'!O81,IF('Broker Actual'!O81="-",'GAAP-IFRS'!O81,'Broker Actual'!O81))</f>
        <v>5.2560642899340699</v>
      </c>
      <c r="P302" s="117"/>
      <c r="Q302" s="117"/>
      <c r="R302" s="117"/>
      <c r="S302" s="117"/>
      <c r="T302" s="117"/>
      <c r="U302" s="118"/>
      <c r="AB302" s="117"/>
      <c r="AC302" s="120"/>
    </row>
    <row r="303" spans="1:29" outlineLevel="1" x14ac:dyDescent="0.15">
      <c r="A303" s="78" t="s">
        <v>166</v>
      </c>
      <c r="B303" s="138">
        <f>B302/B49</f>
        <v>4.2048269071097346E-4</v>
      </c>
      <c r="C303" s="138">
        <f t="shared" ref="C303:K303" si="158">C302/C$49</f>
        <v>2.8308552268592403E-4</v>
      </c>
      <c r="D303" s="138">
        <f t="shared" si="158"/>
        <v>3.5208709897053864E-4</v>
      </c>
      <c r="E303" s="138">
        <f t="shared" si="158"/>
        <v>3.8262230158607442E-4</v>
      </c>
      <c r="F303" s="138">
        <f t="shared" si="158"/>
        <v>3.2550182304943466E-4</v>
      </c>
      <c r="G303" s="138">
        <f t="shared" si="158"/>
        <v>3.3625799644946045E-4</v>
      </c>
      <c r="H303" s="138">
        <f t="shared" si="158"/>
        <v>4.6106535200240122E-4</v>
      </c>
      <c r="I303" s="138">
        <f t="shared" si="158"/>
        <v>5.4070219463593834E-4</v>
      </c>
      <c r="J303" s="138">
        <f t="shared" si="158"/>
        <v>9.1914244815017367E-5</v>
      </c>
      <c r="K303" s="138">
        <f t="shared" si="158"/>
        <v>4.2169820507229522E-4</v>
      </c>
      <c r="L303" s="138">
        <f>L302/L$49</f>
        <v>4.3833410807556252E-4</v>
      </c>
      <c r="P303" s="117"/>
      <c r="Q303" s="117"/>
      <c r="R303" s="117"/>
      <c r="S303" s="117"/>
      <c r="T303" s="117"/>
      <c r="U303" s="118"/>
      <c r="AB303" s="117"/>
      <c r="AC303" s="120"/>
    </row>
    <row r="304" spans="1:29" outlineLevel="1" x14ac:dyDescent="0.15">
      <c r="B304" s="196"/>
      <c r="C304" s="196"/>
      <c r="D304" s="306"/>
      <c r="E304" s="306"/>
      <c r="F304" s="306"/>
      <c r="G304" s="306"/>
      <c r="H304" s="306"/>
      <c r="I304" s="306"/>
      <c r="J304" s="305"/>
      <c r="K304" s="305"/>
      <c r="L304" s="304"/>
      <c r="P304" s="117"/>
      <c r="Q304" s="117"/>
      <c r="R304" s="117"/>
      <c r="S304" s="117"/>
      <c r="T304" s="117"/>
      <c r="U304" s="194"/>
      <c r="AB304" s="117"/>
      <c r="AC304" s="120"/>
    </row>
    <row r="305" spans="1:29" outlineLevel="1" x14ac:dyDescent="0.15">
      <c r="B305" s="196"/>
      <c r="C305" s="196"/>
      <c r="D305" s="196"/>
      <c r="E305" s="196"/>
      <c r="F305" s="196"/>
      <c r="G305" s="196"/>
      <c r="H305" s="196"/>
      <c r="P305" s="117"/>
      <c r="Q305" s="117"/>
      <c r="R305" s="117"/>
      <c r="S305" s="117"/>
      <c r="T305" s="117"/>
      <c r="U305" s="118"/>
      <c r="AB305" s="117" cm="1">
        <f t="array" ref="AB305">_xll.FDSC("--",$A$1,"FF_DIV_COM_CF(LTM_R,0,,,,"&amp;$E$1&amp;")@FF_DIV_COM_CF(LTM_SEMI_R,0,,,,"&amp;$E$1&amp;")")</f>
        <v>271.5</v>
      </c>
      <c r="AC305" s="120"/>
    </row>
    <row r="306" spans="1:29" outlineLevel="1" x14ac:dyDescent="0.15">
      <c r="A306" s="277" t="s">
        <v>499</v>
      </c>
      <c r="B306" s="277"/>
      <c r="C306" s="196"/>
      <c r="D306" s="196"/>
      <c r="E306" s="196"/>
      <c r="F306" s="196"/>
      <c r="G306" s="196"/>
      <c r="H306" s="196"/>
      <c r="L306" s="139"/>
      <c r="P306" s="117"/>
      <c r="Q306" s="117"/>
      <c r="R306" s="117"/>
      <c r="S306" s="117"/>
      <c r="T306" s="117"/>
      <c r="U306" s="118"/>
      <c r="AB306" s="117"/>
      <c r="AC306" s="120"/>
    </row>
    <row r="307" spans="1:29" outlineLevel="1" x14ac:dyDescent="0.15">
      <c r="A307" s="277" t="s">
        <v>461</v>
      </c>
      <c r="B307" s="277"/>
      <c r="P307" s="117"/>
      <c r="Q307" s="117"/>
      <c r="R307" s="117"/>
      <c r="S307" s="117"/>
      <c r="T307" s="117"/>
      <c r="U307" s="118"/>
      <c r="AB307" s="117"/>
      <c r="AC307" s="120"/>
    </row>
    <row r="308" spans="1:29" outlineLevel="1" x14ac:dyDescent="0.15">
      <c r="A308" s="239"/>
      <c r="B308" s="278">
        <v>0.03</v>
      </c>
      <c r="C308" s="278">
        <v>4.9500000000000002E-2</v>
      </c>
      <c r="P308" s="117"/>
      <c r="Q308" s="117"/>
      <c r="R308" s="117"/>
      <c r="S308" s="117"/>
      <c r="T308" s="117"/>
      <c r="U308" s="118"/>
      <c r="AB308" s="117"/>
      <c r="AC308" s="120"/>
    </row>
    <row r="309" spans="1:29" outlineLevel="1" x14ac:dyDescent="0.15">
      <c r="A309" s="239" t="s">
        <v>341</v>
      </c>
      <c r="B309" s="279">
        <v>1</v>
      </c>
      <c r="C309" s="279">
        <v>0.75700000000000001</v>
      </c>
      <c r="P309" s="117"/>
      <c r="Q309" s="117"/>
      <c r="R309" s="117"/>
      <c r="S309" s="117"/>
      <c r="T309" s="117"/>
      <c r="U309" s="118"/>
      <c r="AB309" s="117"/>
      <c r="AC309" s="120"/>
    </row>
    <row r="310" spans="1:29" s="108" customFormat="1" outlineLevel="1" x14ac:dyDescent="0.15">
      <c r="A310" s="239" t="s">
        <v>490</v>
      </c>
      <c r="B310" s="278">
        <v>0.05</v>
      </c>
      <c r="C310" s="278">
        <v>0.05</v>
      </c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145"/>
      <c r="Q310" s="145"/>
      <c r="R310" s="145"/>
      <c r="S310" s="145"/>
      <c r="T310" s="145"/>
      <c r="U310" s="146"/>
      <c r="V310" s="77"/>
      <c r="W310" s="75"/>
      <c r="X310" s="75"/>
      <c r="Y310" s="75"/>
      <c r="Z310" s="75"/>
      <c r="AA310" s="78"/>
      <c r="AB310" s="145" cm="1">
        <f t="array" ref="AB310">_xll.FDSC("--",$A$1,"FF_FIN_CF(LTM_R,0,,,,"&amp;$E$1&amp;")@FF_FIN_CF(LTM_SEMI_R,0,,,,"&amp;$E$1&amp;")")</f>
        <v>-430.3</v>
      </c>
      <c r="AC310" s="158"/>
    </row>
    <row r="311" spans="1:29" outlineLevel="1" x14ac:dyDescent="0.15">
      <c r="A311" s="239" t="s">
        <v>491</v>
      </c>
      <c r="B311" s="278">
        <f>B308+(B309*B310)</f>
        <v>0.08</v>
      </c>
      <c r="C311" s="278">
        <f>C308+(C309*C310)</f>
        <v>8.7350000000000011E-2</v>
      </c>
      <c r="P311" s="117"/>
      <c r="Q311" s="117"/>
      <c r="R311" s="117"/>
      <c r="S311" s="117"/>
      <c r="T311" s="117"/>
      <c r="U311" s="118"/>
      <c r="AB311" s="117"/>
      <c r="AC311" s="120"/>
    </row>
    <row r="312" spans="1:29" outlineLevel="1" x14ac:dyDescent="0.15">
      <c r="A312" s="239" t="s">
        <v>492</v>
      </c>
      <c r="B312" s="278">
        <v>0.06</v>
      </c>
      <c r="C312" s="278">
        <v>6.7500000000000004E-2</v>
      </c>
      <c r="P312" s="117"/>
      <c r="Q312" s="117"/>
      <c r="R312" s="117"/>
      <c r="S312" s="117"/>
      <c r="T312" s="117"/>
      <c r="U312" s="194"/>
      <c r="AB312" s="117"/>
      <c r="AC312" s="120"/>
    </row>
    <row r="313" spans="1:29" outlineLevel="1" x14ac:dyDescent="0.15">
      <c r="A313" s="239" t="s">
        <v>493</v>
      </c>
      <c r="B313" s="278">
        <f>0.21</f>
        <v>0.21</v>
      </c>
      <c r="C313" s="278">
        <v>0.19869999999999999</v>
      </c>
      <c r="P313" s="117"/>
      <c r="Q313" s="117"/>
      <c r="R313" s="117"/>
      <c r="S313" s="117"/>
      <c r="T313" s="117"/>
      <c r="U313" s="118"/>
      <c r="AB313" s="117" t="str" cm="1">
        <f t="array" ref="AB313">_xll.FDSC("--",$A$1,"FF_FOR_EXCH_CF(LTM_R,0,,,,"&amp;$E$1&amp;")@FF_FOR_EXCH_CF(LTM_SEMI_R,0,,,,"&amp;$E$1&amp;")")</f>
        <v>--</v>
      </c>
      <c r="AC313" s="120"/>
    </row>
    <row r="314" spans="1:29" outlineLevel="1" x14ac:dyDescent="0.15">
      <c r="A314" s="239" t="s">
        <v>494</v>
      </c>
      <c r="B314" s="280">
        <f>B312*(1-B313)</f>
        <v>4.7399999999999998E-2</v>
      </c>
      <c r="C314" s="282">
        <f>C312*(1-C313)</f>
        <v>5.4087750000000004E-2</v>
      </c>
      <c r="P314" s="117"/>
      <c r="Q314" s="117"/>
      <c r="R314" s="117"/>
      <c r="S314" s="117"/>
      <c r="T314" s="117"/>
      <c r="U314" s="118"/>
      <c r="AB314" s="117" cm="1">
        <f t="array" ref="AB314">_xll.FDSC("--",$A$1,"FF_CHG_CASH_CF(LTM_R,0,,,,"&amp;$E$1&amp;")@FF_CHG_CASH_CF(LTM_SEMI_R,0,,,,"&amp;$E$1&amp;")")</f>
        <v>22.6</v>
      </c>
      <c r="AC314" s="120"/>
    </row>
    <row r="315" spans="1:29" outlineLevel="1" x14ac:dyDescent="0.15">
      <c r="A315" s="239" t="s">
        <v>495</v>
      </c>
      <c r="B315" s="281" t="e">
        <f>(#REF!*#REF!)/((#REF!*#REF!)+N215)</f>
        <v>#REF!</v>
      </c>
      <c r="C315" s="281">
        <f>(M122*M119)/((M119*M122)+M197)</f>
        <v>0.72754466062757173</v>
      </c>
      <c r="P315" s="117"/>
      <c r="Q315" s="117"/>
      <c r="R315" s="117"/>
      <c r="S315" s="117"/>
      <c r="T315" s="117"/>
      <c r="U315" s="118"/>
      <c r="AB315" s="117" cm="1">
        <f t="array" ref="AB315">_xll.FDSC("--",$A$1,"FF_FREE_CF(LTM_R,0,,,,"&amp;$E$1&amp;")@FF_FREE_CF(LTM_SEMI_R,0,,,,"&amp;$E$1&amp;")")</f>
        <v>824.2</v>
      </c>
      <c r="AC315" s="120"/>
    </row>
    <row r="316" spans="1:29" outlineLevel="1" x14ac:dyDescent="0.15">
      <c r="A316" s="239" t="s">
        <v>496</v>
      </c>
      <c r="B316" s="281" t="e">
        <f>(N215)/((#REF!*#REF!)+N215)</f>
        <v>#REF!</v>
      </c>
      <c r="C316" s="281">
        <f>M197/((M119*M122)+M197)</f>
        <v>0.27245533937242822</v>
      </c>
    </row>
    <row r="317" spans="1:29" outlineLevel="1" x14ac:dyDescent="0.15">
      <c r="A317" s="239" t="s">
        <v>343</v>
      </c>
      <c r="B317" s="282" t="e">
        <f>(B315*B311) + (B316*B314)</f>
        <v>#REF!</v>
      </c>
      <c r="C317" s="282">
        <f>(C315*C311) + (C316*C314)</f>
        <v>7.8287522387959441E-2</v>
      </c>
    </row>
    <row r="318" spans="1:29" outlineLevel="1" x14ac:dyDescent="0.15">
      <c r="A318" s="239" t="s">
        <v>497</v>
      </c>
      <c r="B318" s="282">
        <v>0.03</v>
      </c>
      <c r="C318" s="282">
        <v>1.7500000000000002E-2</v>
      </c>
    </row>
    <row r="319" spans="1:29" outlineLevel="1" x14ac:dyDescent="0.15">
      <c r="A319" s="239" t="s">
        <v>498</v>
      </c>
      <c r="B319" s="283">
        <f ca="1">TODAY()</f>
        <v>45262</v>
      </c>
      <c r="C319" s="283">
        <f ca="1">TODAY()</f>
        <v>45262</v>
      </c>
    </row>
    <row r="320" spans="1:29" outlineLevel="1" x14ac:dyDescent="0.15"/>
    <row r="321" spans="1:21" outlineLevel="1" x14ac:dyDescent="0.15"/>
    <row r="322" spans="1:21" outlineLevel="1" x14ac:dyDescent="0.15"/>
    <row r="323" spans="1:21" outlineLevel="1" x14ac:dyDescent="0.15">
      <c r="A323" s="277" t="s">
        <v>594</v>
      </c>
    </row>
    <row r="324" spans="1:21" outlineLevel="1" x14ac:dyDescent="0.15">
      <c r="A324" s="239" t="s">
        <v>500</v>
      </c>
      <c r="C324" s="139">
        <f t="shared" ref="C324:Q324" si="159">C115</f>
        <v>858.1</v>
      </c>
      <c r="D324" s="139">
        <f t="shared" si="159"/>
        <v>413.4</v>
      </c>
      <c r="E324" s="139">
        <f t="shared" si="159"/>
        <v>867.1</v>
      </c>
      <c r="F324" s="139">
        <f t="shared" si="159"/>
        <v>931.4</v>
      </c>
      <c r="G324" s="139">
        <f t="shared" si="159"/>
        <v>994.2</v>
      </c>
      <c r="H324" s="139">
        <f t="shared" si="159"/>
        <v>523.4</v>
      </c>
      <c r="I324" s="139">
        <f t="shared" si="159"/>
        <v>1100.3</v>
      </c>
      <c r="J324" s="139">
        <f t="shared" si="159"/>
        <v>1005.4</v>
      </c>
      <c r="K324" s="139">
        <f t="shared" si="159"/>
        <v>890.7</v>
      </c>
      <c r="L324" s="139">
        <f t="shared" si="159"/>
        <v>1254.3</v>
      </c>
      <c r="M324" s="139">
        <f t="shared" si="159"/>
        <v>1520.4016404642539</v>
      </c>
      <c r="N324" s="139">
        <f t="shared" si="159"/>
        <v>2018.2477322823324</v>
      </c>
      <c r="O324" s="139">
        <f t="shared" si="159"/>
        <v>1998.4999762658447</v>
      </c>
      <c r="P324" s="139">
        <f t="shared" si="159"/>
        <v>1877.4360009280317</v>
      </c>
      <c r="Q324" s="139">
        <f t="shared" si="159"/>
        <v>1827.532177657054</v>
      </c>
    </row>
    <row r="325" spans="1:21" outlineLevel="1" x14ac:dyDescent="0.15">
      <c r="A325" s="239" t="s">
        <v>501</v>
      </c>
      <c r="C325" s="263"/>
      <c r="D325" s="78"/>
      <c r="E325" s="78"/>
      <c r="F325" s="78"/>
      <c r="G325" s="78"/>
      <c r="H325" s="78"/>
      <c r="I325" s="78"/>
      <c r="J325" s="78"/>
      <c r="K325" s="78"/>
      <c r="L325" s="78"/>
      <c r="M325" s="78"/>
    </row>
    <row r="326" spans="1:21" outlineLevel="1" x14ac:dyDescent="0.15">
      <c r="A326" s="128" t="s">
        <v>131</v>
      </c>
      <c r="C326" s="139">
        <f t="shared" ref="C326:K326" si="160">C255</f>
        <v>84.8</v>
      </c>
      <c r="D326" s="139">
        <f t="shared" si="160"/>
        <v>87.9</v>
      </c>
      <c r="E326" s="139">
        <f t="shared" si="160"/>
        <v>99.5</v>
      </c>
      <c r="F326" s="139">
        <f t="shared" si="160"/>
        <v>101.7</v>
      </c>
      <c r="G326" s="139">
        <f t="shared" si="160"/>
        <v>103.4</v>
      </c>
      <c r="H326" s="139">
        <f t="shared" si="160"/>
        <v>101.4</v>
      </c>
      <c r="I326" s="139">
        <f t="shared" si="160"/>
        <v>110.1</v>
      </c>
      <c r="J326" s="139">
        <f t="shared" si="160"/>
        <v>113.6</v>
      </c>
      <c r="K326" s="139">
        <f t="shared" si="160"/>
        <v>119.8</v>
      </c>
      <c r="L326" s="139">
        <f>L255</f>
        <v>110.5</v>
      </c>
      <c r="M326" s="139">
        <f t="shared" ref="M326:Q326" si="161">M255</f>
        <v>99.570712810046999</v>
      </c>
      <c r="N326" s="139">
        <f t="shared" si="161"/>
        <v>112.73126329955235</v>
      </c>
      <c r="O326" s="139">
        <f t="shared" si="161"/>
        <v>116.53229664779101</v>
      </c>
      <c r="P326" s="139">
        <f t="shared" si="161"/>
        <v>118.2008814397752</v>
      </c>
      <c r="Q326" s="139">
        <f t="shared" si="161"/>
        <v>119.09963893247277</v>
      </c>
    </row>
    <row r="327" spans="1:21" ht="15" outlineLevel="1" x14ac:dyDescent="0.15">
      <c r="A327" s="487" t="s">
        <v>527</v>
      </c>
      <c r="C327" s="139"/>
      <c r="D327" s="139"/>
      <c r="E327" s="139"/>
      <c r="F327" s="139"/>
      <c r="G327" s="139"/>
      <c r="H327" s="139"/>
      <c r="I327" s="139"/>
      <c r="J327" s="139"/>
      <c r="K327" s="139"/>
      <c r="L327" s="139"/>
      <c r="M327" s="139"/>
    </row>
    <row r="328" spans="1:21" outlineLevel="1" x14ac:dyDescent="0.15">
      <c r="A328" s="239" t="s">
        <v>503</v>
      </c>
      <c r="C328" s="139">
        <f t="shared" ref="C328:Q328" si="162">C101*(1-C111)</f>
        <v>103.36104929749044</v>
      </c>
      <c r="D328" s="139">
        <f t="shared" si="162"/>
        <v>114.74018241266563</v>
      </c>
      <c r="E328" s="139">
        <f t="shared" si="162"/>
        <v>111.82426584234929</v>
      </c>
      <c r="F328" s="139">
        <f t="shared" si="162"/>
        <v>109.98538587848931</v>
      </c>
      <c r="G328" s="139">
        <f t="shared" si="162"/>
        <v>105.91498021481063</v>
      </c>
      <c r="H328" s="139">
        <f t="shared" si="162"/>
        <v>132.66111194365354</v>
      </c>
      <c r="I328" s="139">
        <f t="shared" si="162"/>
        <v>137.82814402687382</v>
      </c>
      <c r="J328" s="139">
        <f t="shared" si="162"/>
        <v>151.28811032863848</v>
      </c>
      <c r="K328" s="139">
        <f t="shared" si="162"/>
        <v>157.34056175134242</v>
      </c>
      <c r="L328" s="139">
        <f t="shared" si="162"/>
        <v>166.27822993384098</v>
      </c>
      <c r="M328" s="139">
        <f t="shared" si="162"/>
        <v>162.30183497690675</v>
      </c>
      <c r="N328" s="139">
        <f t="shared" si="162"/>
        <v>162.30183497690675</v>
      </c>
      <c r="O328" s="139">
        <f t="shared" si="162"/>
        <v>216</v>
      </c>
      <c r="P328" s="139">
        <f t="shared" si="162"/>
        <v>216</v>
      </c>
      <c r="Q328" s="139">
        <f t="shared" si="162"/>
        <v>216</v>
      </c>
    </row>
    <row r="329" spans="1:21" outlineLevel="1" x14ac:dyDescent="0.15">
      <c r="A329" s="239" t="s">
        <v>504</v>
      </c>
      <c r="C329" s="139">
        <f>C270</f>
        <v>-105.5</v>
      </c>
      <c r="D329" s="139">
        <f t="shared" ref="D329:P329" si="163">D270</f>
        <v>-114.5</v>
      </c>
      <c r="E329" s="139">
        <f t="shared" si="163"/>
        <v>-100.2</v>
      </c>
      <c r="F329" s="139">
        <f t="shared" si="163"/>
        <v>-85</v>
      </c>
      <c r="G329" s="139">
        <f t="shared" si="163"/>
        <v>-105.3</v>
      </c>
      <c r="H329" s="139">
        <f t="shared" si="163"/>
        <v>-144.1</v>
      </c>
      <c r="I329" s="139">
        <f t="shared" si="163"/>
        <v>-150.9</v>
      </c>
      <c r="J329" s="139">
        <f t="shared" si="163"/>
        <v>-119.1</v>
      </c>
      <c r="K329" s="139">
        <f t="shared" si="163"/>
        <v>-110.3</v>
      </c>
      <c r="L329" s="139">
        <f t="shared" si="163"/>
        <v>-102.2</v>
      </c>
      <c r="M329" s="139">
        <f>M270</f>
        <v>-124.46339101255876</v>
      </c>
      <c r="N329" s="139">
        <f t="shared" si="163"/>
        <v>-211.37111868666065</v>
      </c>
      <c r="O329" s="139">
        <f t="shared" si="163"/>
        <v>-218.49805621460814</v>
      </c>
      <c r="P329" s="139">
        <f t="shared" si="163"/>
        <v>-295.50220359943802</v>
      </c>
      <c r="Q329" s="139">
        <f>Q270</f>
        <v>-297.74909733118193</v>
      </c>
    </row>
    <row r="330" spans="1:21" outlineLevel="1" x14ac:dyDescent="0.15">
      <c r="A330" s="239" t="s">
        <v>505</v>
      </c>
      <c r="C330" s="139"/>
      <c r="D330" s="139">
        <f t="shared" ref="D330:M330" si="164">(D172-D210)-(C172-C210)</f>
        <v>133.39999999999918</v>
      </c>
      <c r="E330" s="139">
        <f t="shared" si="164"/>
        <v>-1022.2999999999997</v>
      </c>
      <c r="F330" s="139">
        <f t="shared" si="164"/>
        <v>367.09999999999945</v>
      </c>
      <c r="G330" s="139">
        <f t="shared" si="164"/>
        <v>359.19999999999982</v>
      </c>
      <c r="H330" s="139">
        <f t="shared" si="164"/>
        <v>-335.19999999999891</v>
      </c>
      <c r="I330" s="139">
        <f t="shared" si="164"/>
        <v>-764.39999999999964</v>
      </c>
      <c r="J330" s="139">
        <f t="shared" si="164"/>
        <v>229.89999999999964</v>
      </c>
      <c r="K330" s="139">
        <f t="shared" si="164"/>
        <v>-719.60000000000036</v>
      </c>
      <c r="L330" s="139">
        <f t="shared" si="164"/>
        <v>-3257.1000000000004</v>
      </c>
      <c r="M330" s="139">
        <f t="shared" si="164"/>
        <v>2039.7294448399407</v>
      </c>
      <c r="N330" s="139">
        <f t="shared" ref="N330:Q330" si="165">(N172-N210)-(M172-M210)</f>
        <v>-391.17782395789618</v>
      </c>
      <c r="O330" s="139">
        <f t="shared" si="165"/>
        <v>423.57110806747005</v>
      </c>
      <c r="P330" s="139">
        <f t="shared" si="165"/>
        <v>328.58863862705766</v>
      </c>
      <c r="Q330" s="139">
        <f t="shared" si="165"/>
        <v>400.87712363423725</v>
      </c>
    </row>
    <row r="331" spans="1:21" s="139" customFormat="1" outlineLevel="1" x14ac:dyDescent="0.15">
      <c r="A331" s="221" t="s">
        <v>506</v>
      </c>
      <c r="C331" s="139">
        <f>SUM(C324:C330)</f>
        <v>940.76104929749044</v>
      </c>
      <c r="D331" s="139">
        <f t="shared" ref="D331:P331" si="166">SUM(D324:D330)</f>
        <v>634.94018241266474</v>
      </c>
      <c r="E331" s="139">
        <f t="shared" si="166"/>
        <v>-44.075734157650459</v>
      </c>
      <c r="F331" s="139">
        <f t="shared" si="166"/>
        <v>1425.1853858784887</v>
      </c>
      <c r="G331" s="139">
        <f t="shared" si="166"/>
        <v>1457.4149802148106</v>
      </c>
      <c r="H331" s="139">
        <f t="shared" si="166"/>
        <v>278.16111194365453</v>
      </c>
      <c r="I331" s="139">
        <f t="shared" si="166"/>
        <v>432.92814402687395</v>
      </c>
      <c r="J331" s="139">
        <f t="shared" si="166"/>
        <v>1381.0881103286383</v>
      </c>
      <c r="K331" s="139">
        <f t="shared" si="166"/>
        <v>337.9405617513421</v>
      </c>
      <c r="L331" s="139">
        <f t="shared" si="166"/>
        <v>-1828.2217700661595</v>
      </c>
      <c r="M331" s="139">
        <f>SUM(M324:M330)</f>
        <v>3697.5402420785895</v>
      </c>
      <c r="N331" s="139">
        <f t="shared" si="166"/>
        <v>1690.7318879142344</v>
      </c>
      <c r="O331" s="139">
        <f t="shared" si="166"/>
        <v>2536.1053247664977</v>
      </c>
      <c r="P331" s="139">
        <f t="shared" si="166"/>
        <v>2244.7233173954264</v>
      </c>
      <c r="Q331" s="139">
        <f>SUM(Q324:Q330)</f>
        <v>2265.7598428925821</v>
      </c>
      <c r="U331" s="748"/>
    </row>
    <row r="332" spans="1:21" x14ac:dyDescent="0.15">
      <c r="A332" s="239" t="s">
        <v>508</v>
      </c>
      <c r="M332" s="488">
        <f ca="1">(M7-$C$319)/365</f>
        <v>7.9452054794520555E-2</v>
      </c>
      <c r="N332" s="488">
        <f ca="1">(N7-$C$319)/365</f>
        <v>1.0821917808219179</v>
      </c>
      <c r="O332" s="488">
        <f ca="1">(O7-$C$319)/365</f>
        <v>2.0821917808219177</v>
      </c>
      <c r="P332" s="488">
        <f ca="1">(P7-$C$319)/365</f>
        <v>3.0821917808219177</v>
      </c>
      <c r="Q332" s="488">
        <f ca="1">(Q7-$C$319)/365</f>
        <v>4.0821917808219181</v>
      </c>
    </row>
    <row r="333" spans="1:21" x14ac:dyDescent="0.15">
      <c r="A333" s="239" t="s">
        <v>509</v>
      </c>
      <c r="M333" s="287">
        <f ca="1">1/(1+$C$317)^M332</f>
        <v>0.99402926459609209</v>
      </c>
      <c r="N333" s="287">
        <f t="shared" ref="N333:Q333" ca="1" si="167">1/(1+$C$317)^N332</f>
        <v>0.92166884398087345</v>
      </c>
      <c r="O333" s="287">
        <f t="shared" ca="1" si="167"/>
        <v>0.85475239659618751</v>
      </c>
      <c r="P333" s="287">
        <f t="shared" ca="1" si="167"/>
        <v>0.79269432210739621</v>
      </c>
      <c r="Q333" s="287">
        <f t="shared" ca="1" si="167"/>
        <v>0.73514188530338098</v>
      </c>
    </row>
    <row r="334" spans="1:21" x14ac:dyDescent="0.15">
      <c r="A334" s="239" t="s">
        <v>510</v>
      </c>
      <c r="M334" s="227">
        <f ca="1">M333*M332*M331</f>
        <v>292.0231041692802</v>
      </c>
      <c r="N334" s="227">
        <f ca="1">N333*N331</f>
        <v>1558.2949046155122</v>
      </c>
      <c r="O334" s="227">
        <f t="shared" ref="O334:P334" ca="1" si="168">O333*O331</f>
        <v>2167.7421043645163</v>
      </c>
      <c r="P334" s="227">
        <f t="shared" ca="1" si="168"/>
        <v>1779.3794284014332</v>
      </c>
      <c r="Q334" s="227">
        <f ca="1">Q333*Q331</f>
        <v>1665.6549625487451</v>
      </c>
    </row>
    <row r="335" spans="1:21" x14ac:dyDescent="0.15">
      <c r="A335" s="239" t="s">
        <v>511</v>
      </c>
      <c r="C335" s="139">
        <f ca="1">SUM(M334:Q334)</f>
        <v>7463.0945040994866</v>
      </c>
      <c r="D335" s="227"/>
    </row>
    <row r="336" spans="1:21" x14ac:dyDescent="0.15">
      <c r="A336" s="239" t="s">
        <v>512</v>
      </c>
      <c r="C336" s="139"/>
      <c r="Q336" s="139">
        <f>(Q331*(1+C318))/(C317-C318)</f>
        <v>37925.721424037663</v>
      </c>
    </row>
    <row r="337" spans="1:17" x14ac:dyDescent="0.15">
      <c r="A337" s="239" t="s">
        <v>513</v>
      </c>
      <c r="C337" s="139">
        <f ca="1">Q336*Q333</f>
        <v>27880.786349157876</v>
      </c>
    </row>
    <row r="338" spans="1:17" x14ac:dyDescent="0.15">
      <c r="A338" s="239" t="s">
        <v>514</v>
      </c>
      <c r="C338" s="139">
        <f ca="1">C337+C335</f>
        <v>35343.88085325736</v>
      </c>
    </row>
    <row r="339" spans="1:17" x14ac:dyDescent="0.15">
      <c r="A339" s="239" t="s">
        <v>515</v>
      </c>
      <c r="C339" s="139">
        <f>L197+L196-L153</f>
        <v>3378.5</v>
      </c>
    </row>
    <row r="340" spans="1:17" x14ac:dyDescent="0.15">
      <c r="A340" s="239" t="s">
        <v>516</v>
      </c>
      <c r="C340" s="139">
        <f ca="1">C338-C339</f>
        <v>31965.38085325736</v>
      </c>
    </row>
    <row r="341" spans="1:17" x14ac:dyDescent="0.15">
      <c r="A341" s="239" t="s">
        <v>517</v>
      </c>
      <c r="C341" s="227">
        <f ca="1">C340/L122</f>
        <v>158.15880336717322</v>
      </c>
    </row>
    <row r="342" spans="1:17" x14ac:dyDescent="0.15">
      <c r="A342" s="239"/>
    </row>
    <row r="343" spans="1:17" x14ac:dyDescent="0.15">
      <c r="A343" s="239"/>
    </row>
    <row r="344" spans="1:17" x14ac:dyDescent="0.15">
      <c r="A344" s="277" t="s">
        <v>518</v>
      </c>
    </row>
    <row r="345" spans="1:17" x14ac:dyDescent="0.15">
      <c r="A345" s="239" t="s">
        <v>519</v>
      </c>
      <c r="C345" s="139">
        <f t="shared" ref="C345:Q345" si="169">C115</f>
        <v>858.1</v>
      </c>
      <c r="D345" s="139">
        <f t="shared" si="169"/>
        <v>413.4</v>
      </c>
      <c r="E345" s="139">
        <f t="shared" si="169"/>
        <v>867.1</v>
      </c>
      <c r="F345" s="139">
        <f t="shared" si="169"/>
        <v>931.4</v>
      </c>
      <c r="G345" s="139">
        <f t="shared" si="169"/>
        <v>994.2</v>
      </c>
      <c r="H345" s="139">
        <f t="shared" si="169"/>
        <v>523.4</v>
      </c>
      <c r="I345" s="139">
        <f t="shared" si="169"/>
        <v>1100.3</v>
      </c>
      <c r="J345" s="139">
        <f t="shared" si="169"/>
        <v>1005.4</v>
      </c>
      <c r="K345" s="139">
        <f t="shared" si="169"/>
        <v>890.7</v>
      </c>
      <c r="L345" s="139">
        <f t="shared" si="169"/>
        <v>1254.3</v>
      </c>
      <c r="M345" s="139">
        <f t="shared" si="169"/>
        <v>1520.4016404642539</v>
      </c>
      <c r="N345" s="139">
        <f t="shared" si="169"/>
        <v>2018.2477322823324</v>
      </c>
      <c r="O345" s="139">
        <f t="shared" si="169"/>
        <v>1998.4999762658447</v>
      </c>
      <c r="P345" s="139">
        <f t="shared" si="169"/>
        <v>1877.4360009280317</v>
      </c>
      <c r="Q345" s="139">
        <f t="shared" si="169"/>
        <v>1827.532177657054</v>
      </c>
    </row>
    <row r="346" spans="1:17" x14ac:dyDescent="0.15">
      <c r="A346" s="239" t="s">
        <v>504</v>
      </c>
      <c r="C346" s="139">
        <f>C329</f>
        <v>-105.5</v>
      </c>
      <c r="D346" s="139">
        <f t="shared" ref="D346:Q346" si="170">D329</f>
        <v>-114.5</v>
      </c>
      <c r="E346" s="139">
        <f t="shared" si="170"/>
        <v>-100.2</v>
      </c>
      <c r="F346" s="139">
        <f t="shared" si="170"/>
        <v>-85</v>
      </c>
      <c r="G346" s="139">
        <f t="shared" si="170"/>
        <v>-105.3</v>
      </c>
      <c r="H346" s="139">
        <f t="shared" si="170"/>
        <v>-144.1</v>
      </c>
      <c r="I346" s="139">
        <f t="shared" si="170"/>
        <v>-150.9</v>
      </c>
      <c r="J346" s="139">
        <f t="shared" si="170"/>
        <v>-119.1</v>
      </c>
      <c r="K346" s="139">
        <f t="shared" si="170"/>
        <v>-110.3</v>
      </c>
      <c r="L346" s="139">
        <f t="shared" si="170"/>
        <v>-102.2</v>
      </c>
      <c r="M346" s="139">
        <f t="shared" si="170"/>
        <v>-124.46339101255876</v>
      </c>
      <c r="N346" s="139">
        <f t="shared" si="170"/>
        <v>-211.37111868666065</v>
      </c>
      <c r="O346" s="139">
        <f t="shared" si="170"/>
        <v>-218.49805621460814</v>
      </c>
      <c r="P346" s="139">
        <f t="shared" si="170"/>
        <v>-295.50220359943802</v>
      </c>
      <c r="Q346" s="139">
        <f t="shared" si="170"/>
        <v>-297.74909733118193</v>
      </c>
    </row>
    <row r="347" spans="1:17" x14ac:dyDescent="0.15">
      <c r="A347" s="285" t="s">
        <v>502</v>
      </c>
      <c r="C347" s="139">
        <f>C326</f>
        <v>84.8</v>
      </c>
      <c r="D347" s="139">
        <f t="shared" ref="D347:Q347" si="171">D326</f>
        <v>87.9</v>
      </c>
      <c r="E347" s="139">
        <f t="shared" si="171"/>
        <v>99.5</v>
      </c>
      <c r="F347" s="139">
        <f t="shared" si="171"/>
        <v>101.7</v>
      </c>
      <c r="G347" s="139">
        <f t="shared" si="171"/>
        <v>103.4</v>
      </c>
      <c r="H347" s="139">
        <f t="shared" si="171"/>
        <v>101.4</v>
      </c>
      <c r="I347" s="139">
        <f t="shared" si="171"/>
        <v>110.1</v>
      </c>
      <c r="J347" s="139">
        <f t="shared" si="171"/>
        <v>113.6</v>
      </c>
      <c r="K347" s="139">
        <f t="shared" si="171"/>
        <v>119.8</v>
      </c>
      <c r="L347" s="139">
        <f t="shared" si="171"/>
        <v>110.5</v>
      </c>
      <c r="M347" s="139">
        <f t="shared" si="171"/>
        <v>99.570712810046999</v>
      </c>
      <c r="N347" s="139">
        <f t="shared" si="171"/>
        <v>112.73126329955235</v>
      </c>
      <c r="O347" s="139">
        <f t="shared" si="171"/>
        <v>116.53229664779101</v>
      </c>
      <c r="P347" s="139">
        <f t="shared" si="171"/>
        <v>118.2008814397752</v>
      </c>
      <c r="Q347" s="139">
        <f t="shared" si="171"/>
        <v>119.09963893247277</v>
      </c>
    </row>
    <row r="348" spans="1:17" x14ac:dyDescent="0.15">
      <c r="A348" s="239" t="s">
        <v>505</v>
      </c>
      <c r="C348" s="139">
        <f>C330</f>
        <v>0</v>
      </c>
      <c r="D348" s="139">
        <f t="shared" ref="D348:Q348" si="172">D330</f>
        <v>133.39999999999918</v>
      </c>
      <c r="E348" s="139">
        <f t="shared" si="172"/>
        <v>-1022.2999999999997</v>
      </c>
      <c r="F348" s="139">
        <f t="shared" si="172"/>
        <v>367.09999999999945</v>
      </c>
      <c r="G348" s="139">
        <f t="shared" si="172"/>
        <v>359.19999999999982</v>
      </c>
      <c r="H348" s="139">
        <f t="shared" si="172"/>
        <v>-335.19999999999891</v>
      </c>
      <c r="I348" s="139">
        <f t="shared" si="172"/>
        <v>-764.39999999999964</v>
      </c>
      <c r="J348" s="139">
        <f t="shared" si="172"/>
        <v>229.89999999999964</v>
      </c>
      <c r="K348" s="139">
        <f t="shared" si="172"/>
        <v>-719.60000000000036</v>
      </c>
      <c r="L348" s="139">
        <f t="shared" si="172"/>
        <v>-3257.1000000000004</v>
      </c>
      <c r="M348" s="139">
        <f t="shared" si="172"/>
        <v>2039.7294448399407</v>
      </c>
      <c r="N348" s="139">
        <f t="shared" si="172"/>
        <v>-391.17782395789618</v>
      </c>
      <c r="O348" s="139">
        <f t="shared" si="172"/>
        <v>423.57110806747005</v>
      </c>
      <c r="P348" s="139">
        <f t="shared" si="172"/>
        <v>328.58863862705766</v>
      </c>
      <c r="Q348" s="139">
        <f t="shared" si="172"/>
        <v>400.87712363423725</v>
      </c>
    </row>
    <row r="349" spans="1:17" x14ac:dyDescent="0.15">
      <c r="A349" s="239" t="s">
        <v>520</v>
      </c>
      <c r="D349" s="139">
        <f>(D197+D196-D153)-(C197+C196-C153)</f>
        <v>83.699999999999818</v>
      </c>
      <c r="E349" s="139">
        <f t="shared" ref="E349:Q349" si="173">(E197+E196-E153)-(D197+D196-D153)</f>
        <v>10.400000000000091</v>
      </c>
      <c r="F349" s="139">
        <f t="shared" si="173"/>
        <v>210.5</v>
      </c>
      <c r="G349" s="139">
        <f t="shared" si="173"/>
        <v>-38.099999999999909</v>
      </c>
      <c r="H349" s="139">
        <f t="shared" si="173"/>
        <v>16.400000000000091</v>
      </c>
      <c r="I349" s="139">
        <f t="shared" si="173"/>
        <v>479.90000000000009</v>
      </c>
      <c r="J349" s="139">
        <f t="shared" si="173"/>
        <v>-102.60000000000036</v>
      </c>
      <c r="K349" s="139">
        <f t="shared" si="173"/>
        <v>195.19999999999982</v>
      </c>
      <c r="L349" s="139">
        <f t="shared" si="173"/>
        <v>-71.299999999999727</v>
      </c>
      <c r="M349" s="139">
        <f t="shared" si="173"/>
        <v>-326.96922197503682</v>
      </c>
      <c r="N349" s="139">
        <f t="shared" si="173"/>
        <v>162.20869099261154</v>
      </c>
      <c r="O349" s="139">
        <f t="shared" si="173"/>
        <v>117.60349073654561</v>
      </c>
      <c r="P349" s="139">
        <f t="shared" si="173"/>
        <v>102.59655867123956</v>
      </c>
      <c r="Q349" s="139">
        <f t="shared" si="173"/>
        <v>100.49645713093832</v>
      </c>
    </row>
    <row r="350" spans="1:17" x14ac:dyDescent="0.15">
      <c r="A350" s="239" t="s">
        <v>521</v>
      </c>
      <c r="C350" s="139">
        <f>SUM(C345:C349)</f>
        <v>837.4</v>
      </c>
      <c r="D350" s="139">
        <f>SUM(D345:D349)</f>
        <v>603.89999999999895</v>
      </c>
      <c r="E350" s="139">
        <f t="shared" ref="E350:Q350" si="174">SUM(E345:E349)</f>
        <v>-145.49999999999966</v>
      </c>
      <c r="F350" s="139">
        <f t="shared" si="174"/>
        <v>1525.6999999999994</v>
      </c>
      <c r="G350" s="139">
        <f t="shared" si="174"/>
        <v>1313.4</v>
      </c>
      <c r="H350" s="139">
        <f t="shared" si="174"/>
        <v>161.90000000000111</v>
      </c>
      <c r="I350" s="139">
        <f t="shared" si="174"/>
        <v>775.00000000000045</v>
      </c>
      <c r="J350" s="139">
        <f t="shared" si="174"/>
        <v>1127.1999999999994</v>
      </c>
      <c r="K350" s="139">
        <f t="shared" si="174"/>
        <v>375.7999999999995</v>
      </c>
      <c r="L350" s="139">
        <f t="shared" si="174"/>
        <v>-2065.8000000000002</v>
      </c>
      <c r="M350" s="139">
        <f t="shared" si="174"/>
        <v>3208.2691851266463</v>
      </c>
      <c r="N350" s="139">
        <f t="shared" si="174"/>
        <v>1690.6387439299397</v>
      </c>
      <c r="O350" s="139">
        <f t="shared" si="174"/>
        <v>2437.7088155030433</v>
      </c>
      <c r="P350" s="139">
        <f t="shared" si="174"/>
        <v>2131.3198760666664</v>
      </c>
      <c r="Q350" s="139">
        <f t="shared" si="174"/>
        <v>2150.2563000235205</v>
      </c>
    </row>
    <row r="351" spans="1:17" x14ac:dyDescent="0.15">
      <c r="A351" s="284" t="s">
        <v>507</v>
      </c>
      <c r="D351" s="300">
        <f>(D350-C350)/C350</f>
        <v>-0.27883926438977913</v>
      </c>
      <c r="E351" s="300">
        <f t="shared" ref="E351:Q351" si="175">(E350-D350)/D350</f>
        <v>-1.2409339294585195</v>
      </c>
      <c r="F351" s="300">
        <f t="shared" si="175"/>
        <v>-11.485910652920982</v>
      </c>
      <c r="G351" s="300">
        <f t="shared" si="175"/>
        <v>-0.13914924297043937</v>
      </c>
      <c r="H351" s="300">
        <f t="shared" si="175"/>
        <v>-0.87673214557636592</v>
      </c>
      <c r="I351" s="300">
        <f t="shared" si="175"/>
        <v>3.7869054972204763</v>
      </c>
      <c r="J351" s="300">
        <f t="shared" si="175"/>
        <v>0.45445161290322411</v>
      </c>
      <c r="K351" s="300">
        <f t="shared" si="175"/>
        <v>-0.66660752306600446</v>
      </c>
      <c r="L351" s="300">
        <f t="shared" si="175"/>
        <v>-6.4970729111229453</v>
      </c>
      <c r="M351" s="300">
        <f t="shared" si="175"/>
        <v>-2.5530395900506564</v>
      </c>
      <c r="N351" s="300">
        <f t="shared" si="175"/>
        <v>-0.47303712800420711</v>
      </c>
      <c r="O351" s="300">
        <f t="shared" si="175"/>
        <v>0.44188628366372179</v>
      </c>
      <c r="P351" s="300">
        <f t="shared" si="175"/>
        <v>-0.12568725907206055</v>
      </c>
      <c r="Q351" s="300">
        <f t="shared" si="175"/>
        <v>8.8848343083071275E-3</v>
      </c>
    </row>
    <row r="352" spans="1:17" x14ac:dyDescent="0.15">
      <c r="A352" s="239" t="s">
        <v>508</v>
      </c>
      <c r="M352" s="489">
        <f ca="1">M332</f>
        <v>7.9452054794520555E-2</v>
      </c>
      <c r="N352" s="489">
        <f t="shared" ref="N352:Q352" ca="1" si="176">N332</f>
        <v>1.0821917808219179</v>
      </c>
      <c r="O352" s="489">
        <f t="shared" ca="1" si="176"/>
        <v>2.0821917808219177</v>
      </c>
      <c r="P352" s="489">
        <f t="shared" ca="1" si="176"/>
        <v>3.0821917808219177</v>
      </c>
      <c r="Q352" s="489">
        <f t="shared" ca="1" si="176"/>
        <v>4.0821917808219181</v>
      </c>
    </row>
    <row r="353" spans="1:17" x14ac:dyDescent="0.15">
      <c r="A353" s="239" t="s">
        <v>509</v>
      </c>
      <c r="M353" s="287">
        <f ca="1">1/(1+$C$311)^M352</f>
        <v>0.99336848956106616</v>
      </c>
      <c r="N353" s="287">
        <f ca="1">1/(1+$C$311)^N352</f>
        <v>0.91335871875238872</v>
      </c>
      <c r="O353" s="287">
        <f t="shared" ref="O353:Q353" ca="1" si="177">1/(1+$C$311)^O352</f>
        <v>0.83998594633962265</v>
      </c>
      <c r="P353" s="287">
        <f t="shared" ca="1" si="177"/>
        <v>0.77250742294534658</v>
      </c>
      <c r="Q353" s="287">
        <f t="shared" ca="1" si="177"/>
        <v>0.71044964633774454</v>
      </c>
    </row>
    <row r="354" spans="1:17" x14ac:dyDescent="0.15">
      <c r="A354" s="239" t="s">
        <v>510</v>
      </c>
      <c r="M354" s="139">
        <f ca="1">M350*M352*M353</f>
        <v>253.21318334658224</v>
      </c>
      <c r="N354" s="139">
        <f ca="1">N353*N350</f>
        <v>1544.1596370289974</v>
      </c>
      <c r="O354" s="139">
        <f t="shared" ref="O354:Q354" ca="1" si="178">O353*O350</f>
        <v>2047.6411462907645</v>
      </c>
      <c r="P354" s="139">
        <f t="shared" ca="1" si="178"/>
        <v>1646.4604249324559</v>
      </c>
      <c r="Q354" s="139">
        <f t="shared" ca="1" si="178"/>
        <v>1527.6488278872173</v>
      </c>
    </row>
    <row r="355" spans="1:17" x14ac:dyDescent="0.15">
      <c r="A355" s="239" t="s">
        <v>511</v>
      </c>
      <c r="C355" s="139">
        <f ca="1">SUM(M354:Q354)</f>
        <v>7019.1232194860177</v>
      </c>
    </row>
    <row r="356" spans="1:17" x14ac:dyDescent="0.15">
      <c r="A356" s="239" t="s">
        <v>512</v>
      </c>
      <c r="Q356" s="139">
        <f>(Q350*(1+C318))/(C311-C318)</f>
        <v>31322.631142074901</v>
      </c>
    </row>
    <row r="357" spans="1:17" x14ac:dyDescent="0.15">
      <c r="A357" s="239" t="s">
        <v>513</v>
      </c>
      <c r="C357" s="139">
        <f ca="1">Q356*Q353</f>
        <v>22253.152217254737</v>
      </c>
    </row>
    <row r="358" spans="1:17" x14ac:dyDescent="0.15">
      <c r="A358" s="239" t="s">
        <v>516</v>
      </c>
      <c r="C358" s="139">
        <f ca="1">C357+C355</f>
        <v>29272.275436740754</v>
      </c>
    </row>
    <row r="359" spans="1:17" x14ac:dyDescent="0.15">
      <c r="A359" s="239" t="s">
        <v>517</v>
      </c>
      <c r="C359" s="227">
        <f ca="1">C358/L122</f>
        <v>144.83381493755735</v>
      </c>
    </row>
  </sheetData>
  <conditionalFormatting sqref="B184">
    <cfRule type="expression" dxfId="190" priority="64">
      <formula>$B$1=2</formula>
    </cfRule>
  </conditionalFormatting>
  <conditionalFormatting sqref="B186">
    <cfRule type="expression" dxfId="188" priority="81">
      <formula>$B$1=2</formula>
    </cfRule>
  </conditionalFormatting>
  <conditionalFormatting sqref="B187:B188">
    <cfRule type="expression" dxfId="187" priority="62">
      <formula>$B$1=2</formula>
    </cfRule>
  </conditionalFormatting>
  <conditionalFormatting sqref="B189">
    <cfRule type="expression" dxfId="185" priority="83">
      <formula>$B$1=2</formula>
    </cfRule>
  </conditionalFormatting>
  <conditionalFormatting sqref="B190">
    <cfRule type="expression" dxfId="183" priority="60">
      <formula>$B$1=2</formula>
    </cfRule>
  </conditionalFormatting>
  <conditionalFormatting sqref="B191:B193">
    <cfRule type="expression" dxfId="181" priority="58">
      <formula>$B$1=2</formula>
    </cfRule>
  </conditionalFormatting>
  <conditionalFormatting sqref="B194">
    <cfRule type="expression" dxfId="179" priority="56">
      <formula>$B$1=2</formula>
    </cfRule>
  </conditionalFormatting>
  <conditionalFormatting sqref="B195">
    <cfRule type="expression" dxfId="177" priority="54">
      <formula>$B$1=2</formula>
    </cfRule>
  </conditionalFormatting>
  <conditionalFormatting sqref="B200">
    <cfRule type="expression" dxfId="174" priority="52">
      <formula>$B$1=2</formula>
    </cfRule>
  </conditionalFormatting>
  <conditionalFormatting sqref="B257">
    <cfRule type="expression" dxfId="172" priority="1">
      <formula>$B$1=2</formula>
    </cfRule>
    <cfRule type="expression" dxfId="170" priority="2">
      <formula>$B$1=1</formula>
    </cfRule>
    <cfRule type="expression" dxfId="168" priority="77">
      <formula>$B$1=2</formula>
    </cfRule>
  </conditionalFormatting>
  <conditionalFormatting sqref="B270">
    <cfRule type="expression" dxfId="163" priority="25">
      <formula>$B$1=2</formula>
    </cfRule>
  </conditionalFormatting>
  <conditionalFormatting sqref="B92:L92 B172:L172 B173 B174:L174 B182:L183 B184 B186:B200 B219:L222 B272:L275 B276 B277:L277 B278 B279:L282">
    <cfRule type="expression" dxfId="160" priority="3">
      <formula>$B$1=1</formula>
    </cfRule>
  </conditionalFormatting>
  <conditionalFormatting sqref="B92:L92 B272:L275 B276 B277:L277 B278 B279:L281 B258:H258 B259 B261:B263">
    <cfRule type="expression" dxfId="159" priority="4">
      <formula>$B$1=2</formula>
    </cfRule>
  </conditionalFormatting>
  <conditionalFormatting sqref="B94:L94 B108:L108 B110:L110 B122:L122 B124:L124 B49:L49 B101:L101 B103:L104 B115:L115 I258:L258">
    <cfRule type="expression" dxfId="158" priority="19">
      <formula>$B$1=2</formula>
    </cfRule>
  </conditionalFormatting>
  <conditionalFormatting sqref="B167:L168">
    <cfRule type="expression" dxfId="152" priority="48">
      <formula>$B$1=2</formula>
    </cfRule>
  </conditionalFormatting>
  <conditionalFormatting sqref="B172:L172 B173">
    <cfRule type="expression" dxfId="151" priority="46">
      <formula>$B$1=2</formula>
    </cfRule>
  </conditionalFormatting>
  <conditionalFormatting sqref="B174:L174">
    <cfRule type="expression" dxfId="149" priority="79">
      <formula>$B$1=2</formula>
    </cfRule>
  </conditionalFormatting>
  <conditionalFormatting sqref="B182:L183">
    <cfRule type="expression" dxfId="146" priority="50">
      <formula>$B$1=2</formula>
    </cfRule>
  </conditionalFormatting>
  <conditionalFormatting sqref="B196:L197 B198">
    <cfRule type="expression" dxfId="144" priority="67">
      <formula>$B$1=2</formula>
    </cfRule>
  </conditionalFormatting>
  <conditionalFormatting sqref="B196:L197">
    <cfRule type="expression" dxfId="143" priority="66">
      <formula>$B$1=1</formula>
    </cfRule>
  </conditionalFormatting>
  <conditionalFormatting sqref="B199:L199">
    <cfRule type="expression" dxfId="142" priority="97">
      <formula>$B$1=2</formula>
    </cfRule>
    <cfRule type="expression" dxfId="140" priority="96">
      <formula>$B$1=1</formula>
    </cfRule>
  </conditionalFormatting>
  <conditionalFormatting sqref="B202:L202 B203">
    <cfRule type="expression" dxfId="138" priority="70">
      <formula>$B$1=2</formula>
    </cfRule>
    <cfRule type="expression" dxfId="137" priority="69">
      <formula>$B$1=1</formula>
    </cfRule>
  </conditionalFormatting>
  <conditionalFormatting sqref="B206:L206">
    <cfRule type="expression" dxfId="135" priority="35">
      <formula>$B$1=2</formula>
    </cfRule>
  </conditionalFormatting>
  <conditionalFormatting sqref="B212:L212 B214:L215 B216:B217">
    <cfRule type="expression" dxfId="134" priority="13">
      <formula>$B$1=1</formula>
    </cfRule>
    <cfRule type="expression" dxfId="132" priority="14">
      <formula>$B$1=2</formula>
    </cfRule>
  </conditionalFormatting>
  <conditionalFormatting sqref="B219:L220">
    <cfRule type="expression" dxfId="130" priority="87">
      <formula>$B$1=2</formula>
    </cfRule>
  </conditionalFormatting>
  <conditionalFormatting sqref="B221:L222">
    <cfRule type="expression" dxfId="128" priority="85">
      <formula>$B$1=2</formula>
    </cfRule>
  </conditionalFormatting>
  <conditionalFormatting sqref="B254:L255">
    <cfRule type="expression" dxfId="126" priority="10">
      <formula>$B$1=1</formula>
    </cfRule>
    <cfRule type="expression" dxfId="125" priority="11">
      <formula>$B$1=2</formula>
    </cfRule>
  </conditionalFormatting>
  <conditionalFormatting sqref="B258:L258 B259 B261:B263 B49:L49 B94:L94 B101:L101 B103:L104 B108:L108 B110:L110 B115:L115 B122:L122 B124:L124 B167:L168 B206:L206 B265:L265 B270">
    <cfRule type="expression" dxfId="124" priority="15">
      <formula>$B$1=1</formula>
    </cfRule>
  </conditionalFormatting>
  <conditionalFormatting sqref="B265:L265">
    <cfRule type="expression" dxfId="123" priority="73">
      <formula>$B$1=2</formula>
    </cfRule>
  </conditionalFormatting>
  <conditionalFormatting sqref="B275:L275 B276">
    <cfRule type="expression" dxfId="118" priority="23">
      <formula>$B$1=2</formula>
    </cfRule>
  </conditionalFormatting>
  <conditionalFormatting sqref="B280:L280">
    <cfRule type="expression" dxfId="115" priority="29">
      <formula>$B$1=2</formula>
    </cfRule>
  </conditionalFormatting>
  <conditionalFormatting sqref="B280:L281">
    <cfRule type="expression" dxfId="113" priority="27">
      <formula>$B$1=2</formula>
    </cfRule>
  </conditionalFormatting>
  <conditionalFormatting sqref="B281:L281">
    <cfRule type="expression" dxfId="109" priority="43">
      <formula>$B$1=2</formula>
    </cfRule>
    <cfRule type="expression" dxfId="108" priority="41">
      <formula>$B$1=2</formula>
    </cfRule>
  </conditionalFormatting>
  <conditionalFormatting sqref="B282:L282">
    <cfRule type="expression" dxfId="105" priority="31">
      <formula>$B$1=2</formula>
    </cfRule>
  </conditionalFormatting>
  <conditionalFormatting sqref="B291:L291">
    <cfRule type="expression" dxfId="104" priority="39">
      <formula>$B$1=2</formula>
    </cfRule>
    <cfRule type="expression" dxfId="103" priority="38">
      <formula>$B$1=1</formula>
    </cfRule>
  </conditionalFormatting>
  <conditionalFormatting sqref="B293:L296 B299:L302">
    <cfRule type="expression" dxfId="100" priority="7">
      <formula>$B$1=2</formula>
    </cfRule>
    <cfRule type="expression" dxfId="99" priority="6">
      <formula>$B$1=1</formula>
    </cfRule>
  </conditionalFormatting>
  <conditionalFormatting sqref="I273:L275">
    <cfRule type="expression" dxfId="97" priority="21">
      <formula>$B$1=2</formula>
    </cfRule>
  </conditionalFormatting>
  <conditionalFormatting sqref="I277:L277">
    <cfRule type="expression" dxfId="96" priority="93">
      <formula>$B$1=2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id="{F3405E87-E262-4062-85BF-6360AEED3026}">
            <xm:f>AND($B$1=2,'Broker Actual'!E36="-")</xm:f>
            <x14:dxf>
              <font>
                <color rgb="FF00B050"/>
              </font>
            </x14:dxf>
          </x14:cfRule>
          <xm:sqref>B184</xm:sqref>
        </x14:conditionalFormatting>
        <x14:conditionalFormatting xmlns:xm="http://schemas.microsoft.com/office/excel/2006/main">
          <x14:cfRule type="expression" priority="80" id="{63A1E911-9099-4D52-9FFA-14C684F667E6}">
            <xm:f>AND($B$1=2,'Broker Actual'!E37="-")</xm:f>
            <x14:dxf>
              <font>
                <color rgb="FF00B050"/>
              </font>
            </x14:dxf>
          </x14:cfRule>
          <xm:sqref>B186</xm:sqref>
        </x14:conditionalFormatting>
        <x14:conditionalFormatting xmlns:xm="http://schemas.microsoft.com/office/excel/2006/main">
          <x14:cfRule type="expression" priority="61" id="{22333F8B-4360-408B-BB02-D3EB2E02682D}">
            <xm:f>AND($B$1=2,'Broker Actual'!E36="-")</xm:f>
            <x14:dxf>
              <font>
                <color rgb="FF00B050"/>
              </font>
            </x14:dxf>
          </x14:cfRule>
          <xm:sqref>B187:B188</xm:sqref>
        </x14:conditionalFormatting>
        <x14:conditionalFormatting xmlns:xm="http://schemas.microsoft.com/office/excel/2006/main">
          <x14:cfRule type="expression" priority="82" id="{D2696AE7-1083-4455-957D-09C2D146F3DF}">
            <xm:f>AND($B$1=2,'Broker Actual'!E37="-")</xm:f>
            <x14:dxf>
              <font>
                <color rgb="FF00B050"/>
              </font>
            </x14:dxf>
          </x14:cfRule>
          <xm:sqref>B189</xm:sqref>
        </x14:conditionalFormatting>
        <x14:conditionalFormatting xmlns:xm="http://schemas.microsoft.com/office/excel/2006/main">
          <x14:cfRule type="expression" priority="59" id="{07A78B59-D9A1-4901-9FAD-7030E2B10FD3}">
            <xm:f>AND($B$1=2,'Broker Actual'!E36="-")</xm:f>
            <x14:dxf>
              <font>
                <color rgb="FF00B050"/>
              </font>
            </x14:dxf>
          </x14:cfRule>
          <xm:sqref>B190</xm:sqref>
        </x14:conditionalFormatting>
        <x14:conditionalFormatting xmlns:xm="http://schemas.microsoft.com/office/excel/2006/main">
          <x14:cfRule type="expression" priority="57" id="{CFF0D59E-EBF0-442C-AA60-CD70FFFCB53B}">
            <xm:f>AND($B$1=2,'Broker Actual'!E36="-")</xm:f>
            <x14:dxf>
              <font>
                <color rgb="FF00B050"/>
              </font>
            </x14:dxf>
          </x14:cfRule>
          <xm:sqref>B191:B193</xm:sqref>
        </x14:conditionalFormatting>
        <x14:conditionalFormatting xmlns:xm="http://schemas.microsoft.com/office/excel/2006/main">
          <x14:cfRule type="expression" priority="55" id="{7CADB1ED-1E51-482E-A975-A2D99542D4AC}">
            <xm:f>AND($B$1=2,'Broker Actual'!E36="-")</xm:f>
            <x14:dxf>
              <font>
                <color rgb="FF00B050"/>
              </font>
            </x14:dxf>
          </x14:cfRule>
          <xm:sqref>B194</xm:sqref>
        </x14:conditionalFormatting>
        <x14:conditionalFormatting xmlns:xm="http://schemas.microsoft.com/office/excel/2006/main">
          <x14:cfRule type="expression" priority="53" id="{9B76A8EA-BBE3-4582-8F92-4F70CB4DF40C}">
            <xm:f>AND($B$1=2,'Broker Actual'!E36="-")</xm:f>
            <x14:dxf>
              <font>
                <color rgb="FF00B050"/>
              </font>
            </x14:dxf>
          </x14:cfRule>
          <xm:sqref>B195</xm:sqref>
        </x14:conditionalFormatting>
        <x14:conditionalFormatting xmlns:xm="http://schemas.microsoft.com/office/excel/2006/main">
          <x14:cfRule type="expression" priority="51" id="{1E69533D-C317-470F-A07D-43FA62354341}">
            <xm:f>AND($B$1=2,'Broker Actual'!E36="-")</xm:f>
            <x14:dxf>
              <font>
                <color rgb="FF00B050"/>
              </font>
            </x14:dxf>
          </x14:cfRule>
          <xm:sqref>B200</xm:sqref>
        </x14:conditionalFormatting>
        <x14:conditionalFormatting xmlns:xm="http://schemas.microsoft.com/office/excel/2006/main">
          <x14:cfRule type="expression" priority="91" id="{CAC019FC-19BD-418C-BE3B-0268F318FE29}">
            <xm:f>AND($B$1=2,'Broker Actual'!E49="-")</xm:f>
            <x14:dxf>
              <font>
                <color rgb="FF00B050"/>
              </font>
            </x14:dxf>
          </x14:cfRule>
          <xm:sqref>B257 B262</xm:sqref>
        </x14:conditionalFormatting>
        <x14:conditionalFormatting xmlns:xm="http://schemas.microsoft.com/office/excel/2006/main">
          <x14:cfRule type="expression" priority="71" id="{56549845-746B-4FB6-80DE-A2F2FD9C4257}">
            <xm:f>AND($B$1=2,'Broker Actual'!E55="-")</xm:f>
            <x14:dxf>
              <font>
                <color rgb="FF00B050"/>
              </font>
            </x14:dxf>
          </x14:cfRule>
          <x14:cfRule type="expression" priority="76" id="{B52C0AB0-F6D3-4A91-8E96-302601CDD12A}">
            <xm:f>AND($B$1=2,'Broker Actual'!E52="-")</xm:f>
            <x14:dxf>
              <font>
                <color rgb="FF00B050"/>
              </font>
            </x14:dxf>
          </x14:cfRule>
          <x14:cfRule type="expression" priority="88" id="{3C3FB94A-737E-4953-8F23-9976C9AB7084}">
            <xm:f>AND($B$1=2,'Broker Actual'!E54="-")</xm:f>
            <x14:dxf>
              <font>
                <color rgb="FF00B050"/>
              </font>
            </x14:dxf>
          </x14:cfRule>
          <xm:sqref>B257</xm:sqref>
        </x14:conditionalFormatting>
        <x14:conditionalFormatting xmlns:xm="http://schemas.microsoft.com/office/excel/2006/main">
          <x14:cfRule type="expression" priority="74" id="{79FD327A-E056-41E5-9B4A-81F5745B8BFB}">
            <xm:f>AND($B$1=2,'Broker Actual'!E54="-")</xm:f>
            <x14:dxf>
              <font>
                <color rgb="FF00B050"/>
              </font>
            </x14:dxf>
          </x14:cfRule>
          <xm:sqref>B261</xm:sqref>
        </x14:conditionalFormatting>
        <x14:conditionalFormatting xmlns:xm="http://schemas.microsoft.com/office/excel/2006/main">
          <x14:cfRule type="expression" priority="75" id="{8486F2EC-6D50-410C-A485-56AF8B6B8EF1}">
            <xm:f>AND($B$1=2,'Broker Actual'!E54="-")</xm:f>
            <x14:dxf>
              <font>
                <color rgb="FF00B050"/>
              </font>
            </x14:dxf>
          </x14:cfRule>
          <xm:sqref>B263 B277:L277 B278</xm:sqref>
        </x14:conditionalFormatting>
        <x14:conditionalFormatting xmlns:xm="http://schemas.microsoft.com/office/excel/2006/main">
          <x14:cfRule type="expression" priority="24" id="{4FF09B50-77D7-46ED-8CA5-1D76FFB0B44D}">
            <xm:f>AND($B$1=2,'Broker Actual'!E59="-")</xm:f>
            <x14:dxf>
              <font>
                <color rgb="FF00B050"/>
              </font>
            </x14:dxf>
          </x14:cfRule>
          <xm:sqref>B270</xm:sqref>
        </x14:conditionalFormatting>
        <x14:conditionalFormatting xmlns:xm="http://schemas.microsoft.com/office/excel/2006/main">
          <x14:cfRule type="expression" priority="44" id="{8AE4B315-A30A-4516-A3F5-8FEC2564CE86}">
            <xm:f>AND($B$1=2,'Broker Actual'!E53="-")</xm:f>
            <x14:dxf>
              <font>
                <color rgb="FF00B050"/>
              </font>
            </x14:dxf>
          </x14:cfRule>
          <xm:sqref>B273:H275 B276 B258:L258 B259 B277:L277 B278</xm:sqref>
        </x14:conditionalFormatting>
        <x14:conditionalFormatting xmlns:xm="http://schemas.microsoft.com/office/excel/2006/main">
          <x14:cfRule type="expression" priority="18" id="{0D52F7DE-6A2C-427E-AC23-14C8FB927845}">
            <xm:f>AND($B$1=2,'Broker Actual'!E25="-")</xm:f>
            <x14:dxf>
              <font>
                <color rgb="FF00B050"/>
              </font>
            </x14:dxf>
          </x14:cfRule>
          <xm:sqref>B92:L92 B94:L94</xm:sqref>
        </x14:conditionalFormatting>
        <x14:conditionalFormatting xmlns:xm="http://schemas.microsoft.com/office/excel/2006/main">
          <x14:cfRule type="expression" priority="32" id="{F9230BEE-C90A-4232-82F9-DA3468F34059}">
            <xm:f>AND($B$1=2,'Broker Actual'!E17="-")</xm:f>
            <x14:dxf>
              <font>
                <color rgb="FF00B050"/>
              </font>
            </x14:dxf>
          </x14:cfRule>
          <xm:sqref>B103:L104</xm:sqref>
        </x14:conditionalFormatting>
        <x14:conditionalFormatting xmlns:xm="http://schemas.microsoft.com/office/excel/2006/main">
          <x14:cfRule type="expression" priority="17" id="{CBD7F15B-263E-44E1-8D4B-2BBFCDB1FEF4}">
            <xm:f>AND($B$1=2,'Broker Actual'!E19="-")</xm:f>
            <x14:dxf>
              <font>
                <color rgb="FF00B050"/>
              </font>
            </x14:dxf>
          </x14:cfRule>
          <xm:sqref>B108:L108 B110:L110</xm:sqref>
        </x14:conditionalFormatting>
        <x14:conditionalFormatting xmlns:xm="http://schemas.microsoft.com/office/excel/2006/main">
          <x14:cfRule type="expression" priority="33" id="{0E2D60B2-FB94-4978-A32E-0E10698DE6E4}">
            <xm:f>AND($B$1=2,'Broker Actual'!E22="-")</xm:f>
            <x14:dxf>
              <font>
                <color rgb="FF00B050"/>
              </font>
            </x14:dxf>
          </x14:cfRule>
          <xm:sqref>B115:L115</xm:sqref>
        </x14:conditionalFormatting>
        <x14:conditionalFormatting xmlns:xm="http://schemas.microsoft.com/office/excel/2006/main">
          <x14:cfRule type="expression" priority="16" id="{921F6C2D-5794-4C60-94B3-61357DDEF53C}">
            <xm:f>AND($B$1=2,'Broker Actual'!E24="-")</xm:f>
            <x14:dxf>
              <font>
                <color rgb="FF00B050"/>
              </font>
            </x14:dxf>
          </x14:cfRule>
          <xm:sqref>B122:L122 B124:L124</xm:sqref>
        </x14:conditionalFormatting>
        <x14:conditionalFormatting xmlns:xm="http://schemas.microsoft.com/office/excel/2006/main">
          <x14:cfRule type="expression" priority="47" id="{D63DCFEA-E367-45D2-A2AF-FF53670BFBED}">
            <xm:f>AND($B$1=2,'Broker Actual'!E33="-")</xm:f>
            <x14:dxf>
              <font>
                <color rgb="FF00B050"/>
              </font>
            </x14:dxf>
          </x14:cfRule>
          <xm:sqref>B167:L168</xm:sqref>
        </x14:conditionalFormatting>
        <x14:conditionalFormatting xmlns:xm="http://schemas.microsoft.com/office/excel/2006/main">
          <x14:cfRule type="expression" priority="45" id="{E0E2D789-418D-4246-8679-C32719D62392}">
            <xm:f>AND($B$1=2,'Broker Actual'!E32="-")</xm:f>
            <x14:dxf>
              <font>
                <color rgb="FF00B050"/>
              </font>
            </x14:dxf>
          </x14:cfRule>
          <xm:sqref>B172:L172 B173</xm:sqref>
        </x14:conditionalFormatting>
        <x14:conditionalFormatting xmlns:xm="http://schemas.microsoft.com/office/excel/2006/main">
          <x14:cfRule type="expression" priority="78" id="{2118E279-83D0-466C-B2F8-DD6030E111C2}">
            <xm:f>AND($B$1=2,'Broker Actual'!E33="-")</xm:f>
            <x14:dxf>
              <font>
                <color rgb="FF00B050"/>
              </font>
            </x14:dxf>
          </x14:cfRule>
          <xm:sqref>B174:L174</xm:sqref>
        </x14:conditionalFormatting>
        <x14:conditionalFormatting xmlns:xm="http://schemas.microsoft.com/office/excel/2006/main">
          <x14:cfRule type="expression" priority="49" id="{5956FBA8-BC53-4C2C-8A83-CFE4805AD231}">
            <xm:f>AND($B$1=2,'Broker Actual'!E35="-")</xm:f>
            <x14:dxf>
              <font>
                <color rgb="FF00B050"/>
              </font>
            </x14:dxf>
          </x14:cfRule>
          <xm:sqref>B182:L183</xm:sqref>
        </x14:conditionalFormatting>
        <x14:conditionalFormatting xmlns:xm="http://schemas.microsoft.com/office/excel/2006/main">
          <x14:cfRule type="expression" priority="65" id="{9B6CBA06-EC34-4CED-B573-666BF2A2155E}">
            <xm:f>AND($B$1=2,'Broker Actual'!E39="-")</xm:f>
            <x14:dxf>
              <font>
                <color rgb="FF00B050"/>
              </font>
            </x14:dxf>
          </x14:cfRule>
          <xm:sqref>B196:L197 B198</xm:sqref>
        </x14:conditionalFormatting>
        <x14:conditionalFormatting xmlns:xm="http://schemas.microsoft.com/office/excel/2006/main">
          <x14:cfRule type="expression" priority="95" id="{036E0BD9-8920-4902-B42F-54680E03FB38}">
            <xm:f>AND($B$1=2,'Broker Actual'!E41="-")</xm:f>
            <x14:dxf>
              <font>
                <color rgb="FF00B050"/>
              </font>
            </x14:dxf>
          </x14:cfRule>
          <xm:sqref>B199:L199</xm:sqref>
        </x14:conditionalFormatting>
        <x14:conditionalFormatting xmlns:xm="http://schemas.microsoft.com/office/excel/2006/main">
          <x14:cfRule type="expression" priority="68" id="{F54BB1E5-CA2D-492B-A6EE-99D0B519B9FB}">
            <xm:f>AND($B$1=2,'Broker Actual'!E41="-")</xm:f>
            <x14:dxf>
              <font>
                <color rgb="FF00B050"/>
              </font>
            </x14:dxf>
          </x14:cfRule>
          <xm:sqref>B202:L202 B203</xm:sqref>
        </x14:conditionalFormatting>
        <x14:conditionalFormatting xmlns:xm="http://schemas.microsoft.com/office/excel/2006/main">
          <x14:cfRule type="expression" priority="34" id="{2EE76C3D-DFB0-4D1F-ADB6-92B86F850210}">
            <xm:f>AND($B$1=2,'Broker Actual'!E37="-")</xm:f>
            <x14:dxf>
              <font>
                <color rgb="FF00B050"/>
              </font>
            </x14:dxf>
          </x14:cfRule>
          <xm:sqref>B206:L206</xm:sqref>
        </x14:conditionalFormatting>
        <x14:conditionalFormatting xmlns:xm="http://schemas.microsoft.com/office/excel/2006/main">
          <x14:cfRule type="expression" priority="12" id="{0629D3C2-753F-4B61-BA1A-535A9C3468AC}">
            <xm:f>AND($B$1=2,'Broker Actual'!E42="-")</xm:f>
            <x14:dxf>
              <font>
                <color rgb="FF00B050"/>
              </font>
            </x14:dxf>
          </x14:cfRule>
          <xm:sqref>B212:L212 B214:L215 B216:B217</xm:sqref>
        </x14:conditionalFormatting>
        <x14:conditionalFormatting xmlns:xm="http://schemas.microsoft.com/office/excel/2006/main">
          <x14:cfRule type="expression" priority="86" id="{3AD30268-D9F9-48C6-A98C-BD8DE03B641D}">
            <xm:f>AND($B$1=2,'Broker Actual'!E46="-")</xm:f>
            <x14:dxf>
              <font>
                <color rgb="FF00B050"/>
              </font>
            </x14:dxf>
          </x14:cfRule>
          <xm:sqref>B219:L220</xm:sqref>
        </x14:conditionalFormatting>
        <x14:conditionalFormatting xmlns:xm="http://schemas.microsoft.com/office/excel/2006/main">
          <x14:cfRule type="expression" priority="84" id="{43997658-3455-43F5-93AC-6176E663E01B}">
            <xm:f>AND($B$1=2,'Broker Actual'!E46="-")</xm:f>
            <x14:dxf>
              <font>
                <color rgb="FF00B050"/>
              </font>
            </x14:dxf>
          </x14:cfRule>
          <xm:sqref>B221:L222</xm:sqref>
        </x14:conditionalFormatting>
        <x14:conditionalFormatting xmlns:xm="http://schemas.microsoft.com/office/excel/2006/main">
          <x14:cfRule type="expression" priority="9" id="{B5C23DDB-E533-4B89-AE3D-5878A7A963D1}">
            <xm:f>AND($B$1=2,'Broker Actual'!E50="-")</xm:f>
            <x14:dxf>
              <font>
                <color rgb="FF00B050"/>
              </font>
            </x14:dxf>
          </x14:cfRule>
          <xm:sqref>B254:L255</xm:sqref>
        </x14:conditionalFormatting>
        <x14:conditionalFormatting xmlns:xm="http://schemas.microsoft.com/office/excel/2006/main">
          <x14:cfRule type="expression" priority="72" id="{8B2F7B2A-E1F8-4168-9FB1-4A029BDDE343}">
            <xm:f>AND($B$1=2,'Broker Actual'!E56="-")</xm:f>
            <x14:dxf>
              <font>
                <color rgb="FF00B050"/>
              </font>
            </x14:dxf>
          </x14:cfRule>
          <xm:sqref>B265:L265</xm:sqref>
        </x14:conditionalFormatting>
        <x14:conditionalFormatting xmlns:xm="http://schemas.microsoft.com/office/excel/2006/main">
          <x14:cfRule type="expression" priority="90" id="{E30D9888-4ABE-4E4A-AA4F-3AA1DD4A3A2B}">
            <xm:f>AND($B$1=2,'Broker Actual'!E62="-")</xm:f>
            <x14:dxf>
              <font>
                <color rgb="FF00B050"/>
              </font>
            </x14:dxf>
          </x14:cfRule>
          <xm:sqref>B272:L275 B276 B279:L279</xm:sqref>
        </x14:conditionalFormatting>
        <x14:conditionalFormatting xmlns:xm="http://schemas.microsoft.com/office/excel/2006/main">
          <x14:cfRule type="expression" priority="36" id="{70D9A617-7E6C-403A-B77C-273CF2753F15}">
            <xm:f>AND($B$1=2,'Broker Actual'!E68="-")</xm:f>
            <x14:dxf>
              <font>
                <color rgb="FF00B050"/>
              </font>
            </x14:dxf>
          </x14:cfRule>
          <xm:sqref>B272:L275 B276</xm:sqref>
        </x14:conditionalFormatting>
        <x14:conditionalFormatting xmlns:xm="http://schemas.microsoft.com/office/excel/2006/main">
          <x14:cfRule type="expression" priority="22" id="{E3D01D65-E4CF-47D8-AEC8-A3A67F59E942}">
            <xm:f>AND($B$1=2,'Broker Actual'!E68="-")</xm:f>
            <x14:dxf>
              <font>
                <color rgb="FF00B050"/>
              </font>
            </x14:dxf>
          </x14:cfRule>
          <xm:sqref>B275:L275 B276</xm:sqref>
        </x14:conditionalFormatting>
        <x14:conditionalFormatting xmlns:xm="http://schemas.microsoft.com/office/excel/2006/main">
          <x14:cfRule type="expression" priority="94" id="{DF0857F9-16AE-4985-B1CC-47ADBE08050E}">
            <xm:f>AND($B$1=2,'Broker Actual'!E66="-")</xm:f>
            <x14:dxf>
              <font>
                <color rgb="FF00B050"/>
              </font>
            </x14:dxf>
          </x14:cfRule>
          <x14:cfRule type="expression" priority="89" id="{64723FE6-9F9C-45A7-A81F-3689D151BA11}">
            <xm:f>AND($B$1=2,'Broker Actual'!E71="-")</xm:f>
            <x14:dxf>
              <font>
                <color rgb="FF00B050"/>
              </font>
            </x14:dxf>
          </x14:cfRule>
          <xm:sqref>B277:L277 B278</xm:sqref>
        </x14:conditionalFormatting>
        <x14:conditionalFormatting xmlns:xm="http://schemas.microsoft.com/office/excel/2006/main">
          <x14:cfRule type="expression" priority="28" id="{A43C7162-DA23-47FE-99C7-0C889A3CAE06}">
            <xm:f>AND($B$1=2,'Broker Actual'!#REF!="-")</xm:f>
            <x14:dxf>
              <font>
                <color rgb="FF00B050"/>
              </font>
            </x14:dxf>
          </x14:cfRule>
          <xm:sqref>B280:L280</xm:sqref>
        </x14:conditionalFormatting>
        <x14:conditionalFormatting xmlns:xm="http://schemas.microsoft.com/office/excel/2006/main">
          <x14:cfRule type="expression" priority="26" id="{49674B02-798F-4089-83BF-A56DA3B4ED65}">
            <xm:f>AND($B$1=2,'Broker Actual'!#REF!="-")</xm:f>
            <x14:dxf>
              <font>
                <color rgb="FF00B050"/>
              </font>
            </x14:dxf>
          </x14:cfRule>
          <x14:cfRule type="expression" priority="8" id="{A4EBD5F0-D661-4E52-B737-BC2A451D40A7}">
            <xm:f>AND($B$1=2,'Broker Actual'!E68="-")</xm:f>
            <x14:dxf>
              <font>
                <color rgb="FF00B050"/>
              </font>
            </x14:dxf>
          </x14:cfRule>
          <xm:sqref>B280:L281</xm:sqref>
        </x14:conditionalFormatting>
        <x14:conditionalFormatting xmlns:xm="http://schemas.microsoft.com/office/excel/2006/main">
          <x14:cfRule type="expression" priority="42" id="{06105C61-7A61-48F2-99FC-7C13566B1B61}">
            <xm:f>AND($B$1=2,'Broker Actual'!E73="-")</xm:f>
            <x14:dxf>
              <font>
                <color rgb="FF00B050"/>
              </font>
            </x14:dxf>
          </x14:cfRule>
          <x14:cfRule type="expression" priority="40" id="{14D9558F-55F0-403B-95BD-7441DFF43D88}">
            <xm:f>AND($B$1=2,'Broker Actual'!E68="-")</xm:f>
            <x14:dxf>
              <font>
                <color rgb="FF00B050"/>
              </font>
            </x14:dxf>
          </x14:cfRule>
          <xm:sqref>B281:L281</xm:sqref>
        </x14:conditionalFormatting>
        <x14:conditionalFormatting xmlns:xm="http://schemas.microsoft.com/office/excel/2006/main">
          <x14:cfRule type="expression" priority="30" id="{F5A707B6-DE0C-473E-AFEB-CF93E0194A6F}">
            <xm:f>AND($B$1=2,'Broker Actual'!E68="-")</xm:f>
            <x14:dxf>
              <font>
                <color rgb="FF00B050"/>
              </font>
            </x14:dxf>
          </x14:cfRule>
          <xm:sqref>B282:L282</xm:sqref>
        </x14:conditionalFormatting>
        <x14:conditionalFormatting xmlns:xm="http://schemas.microsoft.com/office/excel/2006/main">
          <x14:cfRule type="expression" priority="37" id="{D9A96BE8-5EC6-49AD-953D-0EDA6C158AAF}">
            <xm:f>AND($B$1=2,'Broker Actual'!E71="-")</xm:f>
            <x14:dxf>
              <font>
                <color rgb="FF00B050"/>
              </font>
            </x14:dxf>
          </x14:cfRule>
          <xm:sqref>B291:L291</xm:sqref>
        </x14:conditionalFormatting>
        <x14:conditionalFormatting xmlns:xm="http://schemas.microsoft.com/office/excel/2006/main">
          <x14:cfRule type="expression" priority="5" id="{E4401782-67D7-48E2-864B-1CC2D777C643}">
            <xm:f>AND($B$1=2,'Broker Actual'!E72="-")</xm:f>
            <x14:dxf>
              <font>
                <color rgb="FF00B050"/>
              </font>
            </x14:dxf>
          </x14:cfRule>
          <xm:sqref>B293:L296 B299:L302</xm:sqref>
        </x14:conditionalFormatting>
        <x14:conditionalFormatting xmlns:xm="http://schemas.microsoft.com/office/excel/2006/main">
          <x14:cfRule type="expression" priority="20" id="{305587BC-D2EE-4270-8E02-4A8AFC490E58}">
            <xm:f>AND($B$1=2,'Broker Actual'!L68="-")</xm:f>
            <x14:dxf>
              <font>
                <color rgb="FF00B050"/>
              </font>
            </x14:dxf>
          </x14:cfRule>
          <xm:sqref>I273:L275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BCED-9629-470A-8FC1-6E18989610C7}">
  <dimension ref="A1:AT359"/>
  <sheetViews>
    <sheetView zoomScale="70" zoomScaleNormal="70" workbookViewId="0">
      <pane xSplit="2" ySplit="7" topLeftCell="C197" activePane="bottomRight" state="frozen"/>
      <selection pane="topRight" activeCell="C1" sqref="C1"/>
      <selection pane="bottomLeft" activeCell="A8" sqref="A8"/>
      <selection pane="bottomRight" activeCell="O220" sqref="O220"/>
    </sheetView>
  </sheetViews>
  <sheetFormatPr baseColWidth="10" defaultColWidth="10.19921875" defaultRowHeight="14" outlineLevelRow="2" outlineLevelCol="2" x14ac:dyDescent="0.15"/>
  <cols>
    <col min="1" max="1" width="60.19921875" style="78" customWidth="1"/>
    <col min="2" max="2" width="20.796875" style="75" hidden="1" customWidth="1"/>
    <col min="3" max="3" width="20.19921875" style="75" customWidth="1"/>
    <col min="4" max="4" width="10.59765625" style="75" bestFit="1" customWidth="1"/>
    <col min="5" max="5" width="11" style="75" bestFit="1" customWidth="1"/>
    <col min="6" max="7" width="10.59765625" style="75" bestFit="1" customWidth="1"/>
    <col min="8" max="12" width="11.19921875" style="75" bestFit="1" customWidth="1"/>
    <col min="13" max="13" width="13.19921875" style="75" customWidth="1"/>
    <col min="14" max="15" width="11.59765625" style="75" bestFit="1" customWidth="1"/>
    <col min="16" max="17" width="11.19921875" style="75" bestFit="1" customWidth="1" outlineLevel="1"/>
    <col min="18" max="20" width="12" style="75" customWidth="1" outlineLevel="1"/>
    <col min="21" max="21" width="25.19921875" style="112" customWidth="1"/>
    <col min="22" max="22" width="16.19921875" style="77" customWidth="1" outlineLevel="2"/>
    <col min="23" max="23" width="21" style="75" customWidth="1" outlineLevel="2"/>
    <col min="24" max="26" width="12" style="75" customWidth="1" outlineLevel="1"/>
    <col min="27" max="27" width="6.796875" style="78" customWidth="1" outlineLevel="1"/>
    <col min="28" max="28" width="12" style="75" customWidth="1" outlineLevel="1"/>
    <col min="29" max="29" width="4.19921875" style="75" customWidth="1" outlineLevel="1"/>
    <col min="30" max="30" width="10.19921875" style="78" outlineLevel="1"/>
    <col min="31" max="32" width="14.796875" style="78" customWidth="1" outlineLevel="1"/>
    <col min="33" max="16384" width="10.19921875" style="78"/>
  </cols>
  <sheetData>
    <row r="1" spans="1:32" ht="27" customHeight="1" x14ac:dyDescent="0.15">
      <c r="A1" s="208" t="s">
        <v>258</v>
      </c>
      <c r="B1" s="72">
        <v>2</v>
      </c>
      <c r="C1" s="73">
        <v>1</v>
      </c>
      <c r="D1" s="72">
        <v>2</v>
      </c>
      <c r="E1" s="209" t="s">
        <v>21</v>
      </c>
      <c r="F1" s="74" t="s">
        <v>22</v>
      </c>
      <c r="G1" s="74" t="s">
        <v>23</v>
      </c>
      <c r="U1" s="76" t="s">
        <v>24</v>
      </c>
      <c r="AD1" s="75"/>
      <c r="AF1" s="79" t="s">
        <v>25</v>
      </c>
    </row>
    <row r="2" spans="1:32" s="82" customFormat="1" x14ac:dyDescent="0.15">
      <c r="A2" s="210" t="s">
        <v>26</v>
      </c>
      <c r="B2" s="211" t="str">
        <f>CHOOSE(B1,"GAAP/IFRS","Broker Actual")</f>
        <v>Broker Actual</v>
      </c>
      <c r="C2" s="211" t="str">
        <f>CHOOSE(C1,AE3,AF3)</f>
        <v>Incl. restate</v>
      </c>
      <c r="D2" s="211" t="str">
        <f>CHOOSE(D1,AE2,AF2)</f>
        <v>Median</v>
      </c>
      <c r="E2" s="211" t="s">
        <v>17</v>
      </c>
      <c r="F2" s="80" t="s">
        <v>27</v>
      </c>
      <c r="G2" s="81" t="s">
        <v>28</v>
      </c>
      <c r="J2" s="83" t="s">
        <v>29</v>
      </c>
      <c r="U2" s="84"/>
      <c r="V2" s="85"/>
      <c r="Y2" s="82" t="s">
        <v>17</v>
      </c>
      <c r="AE2" s="212" t="s">
        <v>30</v>
      </c>
      <c r="AF2" s="212" t="s">
        <v>31</v>
      </c>
    </row>
    <row r="3" spans="1:32" x14ac:dyDescent="0.15">
      <c r="A3" s="213" t="s">
        <v>32</v>
      </c>
      <c r="B3" s="77"/>
      <c r="F3" s="86" t="s">
        <v>33</v>
      </c>
      <c r="G3" s="86" t="s">
        <v>34</v>
      </c>
      <c r="H3" s="78"/>
      <c r="L3" s="482">
        <f ca="1">L4-L7</f>
        <v>366</v>
      </c>
      <c r="U3" s="87"/>
      <c r="AE3" s="214" t="s">
        <v>35</v>
      </c>
      <c r="AF3" s="214" t="s">
        <v>36</v>
      </c>
    </row>
    <row r="4" spans="1:32" x14ac:dyDescent="0.15">
      <c r="A4" s="215" t="str">
        <f>"Financial Statements Summary - "&amp; _xll.FDSC("-",ALLFINSTAT_RWIdentifier,"FG_COMPANY_NAME")&amp;" ("&amp;UPPER(ALLFINSTAT_RWIdentifier)&amp;")"</f>
        <v>Financial Statements Summary - Unum Group (UNM)</v>
      </c>
      <c r="B4" s="78"/>
      <c r="C4" s="78"/>
      <c r="D4" s="78"/>
      <c r="E4" s="78"/>
      <c r="F4" s="77" t="s">
        <v>37</v>
      </c>
      <c r="G4" s="77" t="s">
        <v>38</v>
      </c>
      <c r="H4" s="78"/>
      <c r="I4" s="78"/>
      <c r="L4" s="481">
        <f ca="1">TODAY()</f>
        <v>45262</v>
      </c>
      <c r="M4" s="138">
        <f ca="1">(365-L3)/365</f>
        <v>-2.7397260273972603E-3</v>
      </c>
      <c r="N4" s="254">
        <f ca="1">1-M4</f>
        <v>1.0027397260273974</v>
      </c>
      <c r="U4" s="87"/>
      <c r="AE4" s="214" t="s">
        <v>39</v>
      </c>
      <c r="AF4" s="214" t="s">
        <v>40</v>
      </c>
    </row>
    <row r="5" spans="1:32" s="92" customFormat="1" x14ac:dyDescent="0.15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90"/>
      <c r="V5" s="91"/>
      <c r="W5" s="89"/>
      <c r="X5" s="89"/>
      <c r="Y5" s="89"/>
      <c r="Z5" s="89"/>
      <c r="AB5" s="89"/>
      <c r="AC5" s="93"/>
    </row>
    <row r="6" spans="1:32" x14ac:dyDescent="0.15">
      <c r="A6" s="94" t="s">
        <v>41</v>
      </c>
      <c r="B6" s="95" t="s">
        <v>42</v>
      </c>
      <c r="C6" s="95" t="s">
        <v>43</v>
      </c>
      <c r="D6" s="95" t="s">
        <v>44</v>
      </c>
      <c r="E6" s="95" t="s">
        <v>45</v>
      </c>
      <c r="F6" s="95" t="s">
        <v>46</v>
      </c>
      <c r="G6" s="95" t="s">
        <v>47</v>
      </c>
      <c r="H6" s="95" t="s">
        <v>48</v>
      </c>
      <c r="I6" s="95" t="s">
        <v>49</v>
      </c>
      <c r="J6" s="95" t="s">
        <v>50</v>
      </c>
      <c r="K6" s="95" t="s">
        <v>51</v>
      </c>
      <c r="L6" s="95" t="s">
        <v>52</v>
      </c>
      <c r="M6" s="95" t="s">
        <v>53</v>
      </c>
      <c r="N6" s="95" t="s">
        <v>54</v>
      </c>
      <c r="O6" s="95" t="s">
        <v>55</v>
      </c>
      <c r="P6" s="95" t="s">
        <v>589</v>
      </c>
      <c r="Q6" s="95" t="s">
        <v>590</v>
      </c>
      <c r="R6" s="95"/>
      <c r="S6" s="95"/>
      <c r="T6" s="95"/>
      <c r="U6" s="96"/>
      <c r="V6" s="97" t="s">
        <v>56</v>
      </c>
      <c r="W6" s="97" t="s">
        <v>57</v>
      </c>
      <c r="X6" s="95" t="s">
        <v>53</v>
      </c>
      <c r="Y6" s="95" t="s">
        <v>54</v>
      </c>
      <c r="Z6" s="95" t="s">
        <v>55</v>
      </c>
      <c r="AA6" s="98"/>
      <c r="AB6" s="98"/>
      <c r="AC6" s="98"/>
    </row>
    <row r="7" spans="1:32" x14ac:dyDescent="0.15">
      <c r="A7" s="78" t="s">
        <v>58</v>
      </c>
      <c r="B7" s="99" t="str" cm="1">
        <f t="array" ref="B7">_xll.FDSRC("-",$A$1,"CONVERT_DATE(FF_FISCAL_DATE(ANN_R,"&amp;B$6&amp;","&amp;B$6&amp;",,,"""",""DATEJ""),""MM/YYYY"")")</f>
        <v>12/2012</v>
      </c>
      <c r="C7" s="99" t="str" cm="1">
        <f t="array" ref="C7">_xll.FDSRC("-",$A$1,"CONVERT_DATE(FF_FISCAL_DATE(ANN_R,"&amp;C$6&amp;","&amp;C$6&amp;",,,"""",""DATEJ""),""MM/YYYY"")")</f>
        <v>12/2013</v>
      </c>
      <c r="D7" s="99" t="str" cm="1">
        <f t="array" ref="D7">_xll.FDSRC("-",$A$1,"CONVERT_DATE(FF_FISCAL_DATE(ANN_R,"&amp;D$6&amp;","&amp;D$6&amp;",,,"""",""DATEJ""),""MM/YYYY"")")</f>
        <v>12/2014</v>
      </c>
      <c r="E7" s="99" t="str" cm="1">
        <f t="array" ref="E7">_xll.FDSRC("-",$A$1,"CONVERT_DATE(FF_FISCAL_DATE(ANN_R,"&amp;E$6&amp;","&amp;E$6&amp;",,,"""",""DATEJ""),""MM/YYYY"")")</f>
        <v>12/2015</v>
      </c>
      <c r="F7" s="99" t="str" cm="1">
        <f t="array" ref="F7">_xll.FDSRC("-",$A$1,"CONVERT_DATE(FF_FISCAL_DATE(ANN_R,"&amp;F$6&amp;","&amp;F$6&amp;",,,"""",""DATEJ""),""MM/YYYY"")")</f>
        <v>12/2016</v>
      </c>
      <c r="G7" s="99" t="str" cm="1">
        <f t="array" ref="G7">_xll.FDSRC("-",$A$1,"CONVERT_DATE(FF_FISCAL_DATE(ANN_R,"&amp;G$6&amp;","&amp;G$6&amp;",,,"""",""DATEJ""),""MM/YYYY"")")</f>
        <v>12/2017</v>
      </c>
      <c r="H7" s="99" t="str" cm="1">
        <f t="array" ref="H7">_xll.FDSRC("-",$A$1,"CONVERT_DATE(FF_FISCAL_DATE(ANN_R,"&amp;H$6&amp;","&amp;H$6&amp;",,,"""",""DATEJ""),""MM/YYYY"")")</f>
        <v>12/2018</v>
      </c>
      <c r="I7" s="99" t="str" cm="1">
        <f t="array" ref="I7">_xll.FDSRC("-",$A$1,"CONVERT_DATE(FF_FISCAL_DATE(ANN_R,"&amp;I$6&amp;","&amp;I$6&amp;",,,"""",""DATEJ""),""MM/YYYY"")")</f>
        <v>12/2019</v>
      </c>
      <c r="J7" s="99" t="str" cm="1">
        <f t="array" ref="J7">_xll.FDSRC("-",$A$1,"CONVERT_DATE(FF_FISCAL_DATE(ANN_R,"&amp;J$6&amp;","&amp;J$6&amp;",,,"""",""DATEJ""),""MM/YYYY"")")</f>
        <v>12/2020</v>
      </c>
      <c r="K7" s="99" t="str" cm="1">
        <f t="array" ref="K7">_xll.FDSRC("-",$A$1,"CONVERT_DATE(FF_FISCAL_DATE(ANN_R,"&amp;K$6&amp;","&amp;K$6&amp;",,,"""",""DATEJ""),""MM/YYYY"")")</f>
        <v>12/2021</v>
      </c>
      <c r="L7" s="99" t="str" cm="1">
        <f t="array" ref="L7">_xll.FDSRC("-",$A$1,"CONVERT_DATE(FF_FISCAL_DATE(ANN_R,"&amp;L$6&amp;","&amp;L$6&amp;",,,"""",""DATEJ""),""MM/YYYY"")")</f>
        <v>12/2022</v>
      </c>
      <c r="M7" s="100">
        <v>45291</v>
      </c>
      <c r="N7" s="100">
        <v>45657</v>
      </c>
      <c r="O7" s="100">
        <v>46022</v>
      </c>
      <c r="P7" s="100">
        <v>46387</v>
      </c>
      <c r="Q7" s="100">
        <v>46752</v>
      </c>
      <c r="R7" s="101"/>
      <c r="S7" s="101"/>
      <c r="T7" s="101"/>
      <c r="U7" s="102"/>
      <c r="V7" s="103"/>
      <c r="W7" s="104"/>
      <c r="X7" s="105" t="str" cm="1">
        <f t="array" ref="X7">_xll.FDSC("",$A$1,"FE_ACTUAL_DATE(FISCALPERIODEND,,ANNUAL,1,'MM/YYYY')")</f>
        <v>12/2023</v>
      </c>
      <c r="Y7" s="105" t="str" cm="1">
        <f t="array" ref="Y7">_xll.FDSC("",$A$1,"FE_ACTUAL_DATE(FISCALPERIODEND,,ANNUAL,2,'MM/YYYY')")</f>
        <v>12/2024</v>
      </c>
      <c r="Z7" s="105" t="str" cm="1">
        <f t="array" ref="Z7">_xll.FDSC("",$A$1,"FE_ACTUAL_DATE(FISCALPERIODEND,,ANNUAL,3,'MM/YYYY')")</f>
        <v>12/2025</v>
      </c>
      <c r="AA7" s="106"/>
      <c r="AB7" s="105"/>
      <c r="AC7" s="107"/>
    </row>
    <row r="8" spans="1:32" x14ac:dyDescent="0.15">
      <c r="A8" s="108" t="s">
        <v>59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100"/>
      <c r="N8" s="100"/>
      <c r="O8" s="99"/>
      <c r="P8" s="101"/>
      <c r="Q8" s="101"/>
      <c r="R8" s="101"/>
      <c r="S8" s="101"/>
      <c r="T8" s="101"/>
      <c r="U8" s="102"/>
      <c r="V8" s="103"/>
      <c r="W8" s="104"/>
      <c r="X8" s="105"/>
      <c r="Y8" s="105"/>
      <c r="Z8" s="105"/>
      <c r="AA8" s="106"/>
      <c r="AB8" s="105"/>
      <c r="AC8" s="107"/>
    </row>
    <row r="9" spans="1:32" x14ac:dyDescent="0.15">
      <c r="A9" s="109" t="s">
        <v>60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1"/>
      <c r="P9" s="111"/>
      <c r="Q9" s="111"/>
      <c r="R9" s="111"/>
      <c r="S9" s="111"/>
      <c r="T9" s="111"/>
      <c r="AA9" s="75"/>
    </row>
    <row r="10" spans="1:32" x14ac:dyDescent="0.15">
      <c r="A10" s="113" t="s">
        <v>61</v>
      </c>
      <c r="B10" s="75" t="s">
        <v>62</v>
      </c>
      <c r="C10" s="75" t="s">
        <v>63</v>
      </c>
      <c r="D10" s="75" t="s">
        <v>64</v>
      </c>
      <c r="E10" s="75" t="s">
        <v>65</v>
      </c>
      <c r="F10" s="75" t="s">
        <v>66</v>
      </c>
      <c r="G10" s="75" t="s">
        <v>67</v>
      </c>
      <c r="H10" s="75" t="s">
        <v>68</v>
      </c>
      <c r="I10" s="75" t="s">
        <v>69</v>
      </c>
      <c r="J10" s="75" t="s">
        <v>70</v>
      </c>
      <c r="K10" s="75" t="s">
        <v>71</v>
      </c>
      <c r="L10" s="75" t="s">
        <v>72</v>
      </c>
      <c r="M10" s="114"/>
      <c r="N10" s="114"/>
      <c r="O10" s="114"/>
    </row>
    <row r="11" spans="1:32" ht="15" outlineLevel="2" x14ac:dyDescent="0.15">
      <c r="A11" s="202" t="s">
        <v>259</v>
      </c>
      <c r="B11" s="115"/>
      <c r="C11" s="198">
        <v>7624.7</v>
      </c>
      <c r="D11" s="198">
        <v>7797.2</v>
      </c>
      <c r="E11" s="198">
        <v>8082.4</v>
      </c>
      <c r="F11" s="198">
        <v>8357.7000000000007</v>
      </c>
      <c r="G11" s="198">
        <v>8597.1</v>
      </c>
      <c r="H11" s="198">
        <v>8986.1</v>
      </c>
      <c r="I11" s="198">
        <v>9365.6</v>
      </c>
      <c r="J11" s="198">
        <v>9378.1</v>
      </c>
      <c r="K11" s="198">
        <v>9481</v>
      </c>
      <c r="L11" s="198">
        <v>9623.4</v>
      </c>
      <c r="M11" s="252">
        <f>M13+M15+M17+M19</f>
        <v>9996.0280000000002</v>
      </c>
      <c r="N11" s="252">
        <f>N13+N15+N17+N19</f>
        <v>10172.308680000002</v>
      </c>
      <c r="O11" s="252">
        <f t="shared" ref="O11:Q11" si="0">O13+O15+O17+O19</f>
        <v>10206.2025708</v>
      </c>
      <c r="P11" s="252">
        <f t="shared" si="0"/>
        <v>10298.821596508</v>
      </c>
      <c r="Q11" s="252">
        <f t="shared" si="0"/>
        <v>10324.45441247308</v>
      </c>
      <c r="R11" s="117"/>
      <c r="S11" s="117"/>
      <c r="T11" s="117"/>
      <c r="U11" s="118"/>
      <c r="V11" s="119"/>
      <c r="W11" s="119"/>
      <c r="X11" s="117"/>
      <c r="Y11" s="117"/>
      <c r="Z11" s="117"/>
      <c r="AA11" s="117"/>
      <c r="AB11" s="117"/>
      <c r="AC11" s="120"/>
    </row>
    <row r="12" spans="1:32" ht="15" outlineLevel="2" x14ac:dyDescent="0.15">
      <c r="A12" s="206" t="s">
        <v>272</v>
      </c>
      <c r="B12" s="115"/>
      <c r="C12" s="198"/>
      <c r="D12" s="207">
        <f>(D11-C11)/C11</f>
        <v>2.2623840938004118E-2</v>
      </c>
      <c r="E12" s="207">
        <f t="shared" ref="E12:Q12" si="1">(E11-D11)/D11</f>
        <v>3.6577232852818935E-2</v>
      </c>
      <c r="F12" s="207">
        <f t="shared" si="1"/>
        <v>3.406166485202429E-2</v>
      </c>
      <c r="G12" s="207">
        <f t="shared" si="1"/>
        <v>2.8644244229871808E-2</v>
      </c>
      <c r="H12" s="207">
        <f t="shared" si="1"/>
        <v>4.5247816124041829E-2</v>
      </c>
      <c r="I12" s="207">
        <f t="shared" si="1"/>
        <v>4.2231891476836446E-2</v>
      </c>
      <c r="J12" s="207">
        <f t="shared" si="1"/>
        <v>1.3346715640215256E-3</v>
      </c>
      <c r="K12" s="207">
        <f t="shared" si="1"/>
        <v>1.0972371802390636E-2</v>
      </c>
      <c r="L12" s="207">
        <f t="shared" si="1"/>
        <v>1.5019512709629748E-2</v>
      </c>
      <c r="M12" s="224">
        <f t="shared" si="1"/>
        <v>3.8721034145936015E-2</v>
      </c>
      <c r="N12" s="224">
        <f t="shared" si="1"/>
        <v>1.7635072650857085E-2</v>
      </c>
      <c r="O12" s="224">
        <f t="shared" si="1"/>
        <v>3.3319762372761757E-3</v>
      </c>
      <c r="P12" s="224">
        <f t="shared" si="1"/>
        <v>9.0747783091218743E-3</v>
      </c>
      <c r="Q12" s="224">
        <f t="shared" si="1"/>
        <v>2.4889076604425785E-3</v>
      </c>
      <c r="R12" s="117"/>
      <c r="S12" s="117"/>
      <c r="T12" s="117"/>
      <c r="U12" s="118"/>
      <c r="V12" s="119"/>
      <c r="W12" s="119"/>
      <c r="X12" s="117"/>
      <c r="Y12" s="117"/>
      <c r="Z12" s="117"/>
      <c r="AA12" s="117"/>
      <c r="AB12" s="117"/>
      <c r="AC12" s="120"/>
    </row>
    <row r="13" spans="1:32" ht="15" outlineLevel="2" x14ac:dyDescent="0.15">
      <c r="A13" s="205" t="s">
        <v>268</v>
      </c>
      <c r="B13" s="115"/>
      <c r="C13" s="198">
        <v>4517.1000000000004</v>
      </c>
      <c r="D13" s="198">
        <v>4659.7</v>
      </c>
      <c r="E13" s="198">
        <v>4960</v>
      </c>
      <c r="F13" s="198">
        <v>5240.8999999999996</v>
      </c>
      <c r="G13" s="198">
        <v>5443.5</v>
      </c>
      <c r="H13" s="198">
        <v>5736.4</v>
      </c>
      <c r="I13" s="198">
        <v>6016.6</v>
      </c>
      <c r="J13" s="198">
        <v>6018.9</v>
      </c>
      <c r="K13" s="198">
        <v>6078</v>
      </c>
      <c r="L13" s="198">
        <v>6258.3</v>
      </c>
      <c r="M13" s="252">
        <f>L13*(1+M14)</f>
        <v>6589.7000000000007</v>
      </c>
      <c r="N13" s="252">
        <f t="shared" ref="N13:Q13" si="2">M13*(1+N14)</f>
        <v>6724.0000000000018</v>
      </c>
      <c r="O13" s="252">
        <f t="shared" si="2"/>
        <v>6724.0000000000018</v>
      </c>
      <c r="P13" s="252">
        <f t="shared" si="2"/>
        <v>6791.2400000000016</v>
      </c>
      <c r="Q13" s="252">
        <f t="shared" si="2"/>
        <v>6791.2400000000016</v>
      </c>
      <c r="R13" s="117"/>
      <c r="S13" s="117"/>
      <c r="T13" s="117"/>
      <c r="U13" s="118"/>
      <c r="V13" s="119"/>
      <c r="W13" s="119"/>
      <c r="X13" s="117"/>
      <c r="Y13" s="117"/>
      <c r="Z13" s="117"/>
      <c r="AA13" s="117"/>
      <c r="AB13" s="117"/>
      <c r="AC13" s="120"/>
    </row>
    <row r="14" spans="1:32" ht="15" outlineLevel="2" x14ac:dyDescent="0.15">
      <c r="A14" s="206" t="s">
        <v>272</v>
      </c>
      <c r="B14" s="115"/>
      <c r="C14" s="198"/>
      <c r="D14" s="207">
        <f>(D13-C13)/C13</f>
        <v>3.1568926966416382E-2</v>
      </c>
      <c r="E14" s="207">
        <f t="shared" ref="E14:L14" si="3">(E13-D13)/D13</f>
        <v>6.4446208983410996E-2</v>
      </c>
      <c r="F14" s="207">
        <f t="shared" si="3"/>
        <v>5.6633064516128956E-2</v>
      </c>
      <c r="G14" s="207">
        <f t="shared" si="3"/>
        <v>3.8657482493464936E-2</v>
      </c>
      <c r="H14" s="207">
        <f t="shared" si="3"/>
        <v>5.3807293101864544E-2</v>
      </c>
      <c r="I14" s="207">
        <f t="shared" si="3"/>
        <v>4.8845966111149983E-2</v>
      </c>
      <c r="J14" s="207">
        <f t="shared" si="3"/>
        <v>3.8227570388579466E-4</v>
      </c>
      <c r="K14" s="207">
        <f t="shared" si="3"/>
        <v>9.8190699297214384E-3</v>
      </c>
      <c r="L14" s="207">
        <f t="shared" si="3"/>
        <v>2.9664363277393909E-2</v>
      </c>
      <c r="M14" s="123">
        <f>'Unum US Breakout - Bear'!AO6</f>
        <v>5.2953677516258499E-2</v>
      </c>
      <c r="N14" s="123">
        <f>'Unum US Breakout - Bear'!AP6</f>
        <v>2.0380290453283181E-2</v>
      </c>
      <c r="O14" s="123">
        <f>'Unum US Breakout - Bear'!AQ6</f>
        <v>0</v>
      </c>
      <c r="P14" s="123">
        <v>0.01</v>
      </c>
      <c r="Q14" s="123">
        <v>0</v>
      </c>
      <c r="R14" s="117"/>
      <c r="S14" s="117"/>
      <c r="T14" s="117"/>
      <c r="U14" s="118"/>
      <c r="V14" s="119"/>
      <c r="W14" s="119"/>
      <c r="X14" s="117"/>
      <c r="Y14" s="117"/>
      <c r="Z14" s="117"/>
      <c r="AA14" s="117"/>
      <c r="AB14" s="117"/>
      <c r="AC14" s="120"/>
    </row>
    <row r="15" spans="1:32" ht="15" outlineLevel="2" x14ac:dyDescent="0.15">
      <c r="A15" s="205" t="s">
        <v>269</v>
      </c>
      <c r="B15" s="115"/>
      <c r="C15" s="198">
        <v>556.6</v>
      </c>
      <c r="D15" s="198">
        <v>607.20000000000005</v>
      </c>
      <c r="E15" s="198">
        <v>576.20000000000005</v>
      </c>
      <c r="F15" s="198">
        <v>529.29999999999995</v>
      </c>
      <c r="G15" s="198">
        <v>513</v>
      </c>
      <c r="H15" s="198">
        <v>568.79999999999995</v>
      </c>
      <c r="I15" s="198">
        <v>630.5</v>
      </c>
      <c r="J15" s="198">
        <v>652.79999999999995</v>
      </c>
      <c r="K15" s="198">
        <v>717</v>
      </c>
      <c r="L15" s="198">
        <v>718.8</v>
      </c>
      <c r="M15" s="252">
        <f>L15*(1+M16)</f>
        <v>725.98799999999994</v>
      </c>
      <c r="N15" s="252">
        <f>M15*(1+N16)</f>
        <v>733.2478799999999</v>
      </c>
      <c r="O15" s="252">
        <f t="shared" ref="O15:Q15" si="4">N15*(1+O16)</f>
        <v>740.58035879999989</v>
      </c>
      <c r="P15" s="252">
        <f t="shared" si="4"/>
        <v>747.98616238799991</v>
      </c>
      <c r="Q15" s="252">
        <f t="shared" si="4"/>
        <v>755.46602401187988</v>
      </c>
      <c r="R15" s="117"/>
      <c r="S15" s="117"/>
      <c r="T15" s="117"/>
      <c r="U15" s="118"/>
      <c r="V15" s="119"/>
      <c r="W15" s="119"/>
      <c r="X15" s="117"/>
      <c r="Y15" s="117"/>
      <c r="Z15" s="117"/>
      <c r="AA15" s="117"/>
      <c r="AB15" s="117"/>
      <c r="AC15" s="120"/>
    </row>
    <row r="16" spans="1:32" ht="15" outlineLevel="2" x14ac:dyDescent="0.15">
      <c r="A16" s="206" t="s">
        <v>272</v>
      </c>
      <c r="B16" s="115"/>
      <c r="C16" s="198"/>
      <c r="D16" s="207">
        <f>(D15-C15)/C15</f>
        <v>9.0909090909090939E-2</v>
      </c>
      <c r="E16" s="207">
        <f t="shared" ref="E16:L16" si="5">(E15-D15)/D15</f>
        <v>-5.1054018445322792E-2</v>
      </c>
      <c r="F16" s="207">
        <f t="shared" si="5"/>
        <v>-8.1395348837209447E-2</v>
      </c>
      <c r="G16" s="207">
        <f t="shared" si="5"/>
        <v>-3.0795390137917922E-2</v>
      </c>
      <c r="H16" s="207">
        <f t="shared" si="5"/>
        <v>0.10877192982456131</v>
      </c>
      <c r="I16" s="207">
        <f t="shared" si="5"/>
        <v>0.10847398030942344</v>
      </c>
      <c r="J16" s="207">
        <f t="shared" si="5"/>
        <v>3.5368754956383752E-2</v>
      </c>
      <c r="K16" s="207">
        <f t="shared" si="5"/>
        <v>9.8345588235294198E-2</v>
      </c>
      <c r="L16" s="207">
        <f t="shared" si="5"/>
        <v>2.5104602510459617E-3</v>
      </c>
      <c r="M16" s="123">
        <v>0.01</v>
      </c>
      <c r="N16" s="123">
        <f>M16</f>
        <v>0.01</v>
      </c>
      <c r="O16" s="123">
        <f>N16</f>
        <v>0.01</v>
      </c>
      <c r="P16" s="123">
        <v>0.01</v>
      </c>
      <c r="Q16" s="123">
        <v>0.01</v>
      </c>
      <c r="R16" s="117"/>
      <c r="S16" s="117"/>
      <c r="T16" s="117"/>
      <c r="U16" s="118"/>
      <c r="V16" s="119"/>
      <c r="W16" s="119"/>
      <c r="X16" s="117"/>
      <c r="Y16" s="117"/>
      <c r="Z16" s="117"/>
      <c r="AA16" s="117"/>
      <c r="AB16" s="117"/>
      <c r="AC16" s="120"/>
    </row>
    <row r="17" spans="1:29" ht="15" outlineLevel="2" x14ac:dyDescent="0.15">
      <c r="A17" s="205" t="s">
        <v>270</v>
      </c>
      <c r="B17" s="115"/>
      <c r="C17" s="198">
        <v>1232.2</v>
      </c>
      <c r="D17" s="198">
        <v>1273.7</v>
      </c>
      <c r="E17" s="198">
        <v>1338.6</v>
      </c>
      <c r="F17" s="198">
        <v>1417.1</v>
      </c>
      <c r="G17" s="198">
        <v>1511.4</v>
      </c>
      <c r="H17" s="198">
        <v>1603.8</v>
      </c>
      <c r="I17" s="198">
        <v>1685</v>
      </c>
      <c r="J17" s="198">
        <v>1712</v>
      </c>
      <c r="K17" s="198">
        <v>1690.2</v>
      </c>
      <c r="L17" s="198">
        <v>1702</v>
      </c>
      <c r="M17" s="116">
        <f>L17*(1+M18)</f>
        <v>1736.04</v>
      </c>
      <c r="N17" s="116">
        <f t="shared" ref="N17:Q17" si="6">M17*(1+N18)</f>
        <v>1770.7608</v>
      </c>
      <c r="O17" s="116">
        <f t="shared" si="6"/>
        <v>1797.3222119999998</v>
      </c>
      <c r="P17" s="116">
        <f t="shared" si="6"/>
        <v>1815.2954341199998</v>
      </c>
      <c r="Q17" s="116">
        <f t="shared" si="6"/>
        <v>1833.4483884611998</v>
      </c>
      <c r="R17" s="117"/>
      <c r="S17" s="117"/>
      <c r="T17" s="117"/>
      <c r="U17" s="118"/>
      <c r="V17" s="119"/>
      <c r="W17" s="119"/>
      <c r="X17" s="117"/>
      <c r="Y17" s="117"/>
      <c r="Z17" s="117"/>
      <c r="AA17" s="117"/>
      <c r="AB17" s="117"/>
      <c r="AC17" s="120"/>
    </row>
    <row r="18" spans="1:29" ht="15" outlineLevel="2" x14ac:dyDescent="0.15">
      <c r="A18" s="206" t="s">
        <v>272</v>
      </c>
      <c r="B18" s="115"/>
      <c r="C18" s="198"/>
      <c r="D18" s="207">
        <f>(D17-C17)/C17</f>
        <v>3.3679597467943516E-2</v>
      </c>
      <c r="E18" s="207">
        <f t="shared" ref="E18:L18" si="7">(E17-D17)/D17</f>
        <v>5.0953913794456983E-2</v>
      </c>
      <c r="F18" s="207">
        <f t="shared" si="7"/>
        <v>5.8643358733004636E-2</v>
      </c>
      <c r="G18" s="207">
        <f t="shared" si="7"/>
        <v>6.6544351139651528E-2</v>
      </c>
      <c r="H18" s="207">
        <f t="shared" si="7"/>
        <v>6.1135371179039208E-2</v>
      </c>
      <c r="I18" s="207">
        <f t="shared" si="7"/>
        <v>5.0629754333458066E-2</v>
      </c>
      <c r="J18" s="207">
        <f t="shared" si="7"/>
        <v>1.6023738872403562E-2</v>
      </c>
      <c r="K18" s="207">
        <f t="shared" si="7"/>
        <v>-1.2733644859813058E-2</v>
      </c>
      <c r="L18" s="207">
        <f t="shared" si="7"/>
        <v>6.9814223168855483E-3</v>
      </c>
      <c r="M18" s="123">
        <v>0.02</v>
      </c>
      <c r="N18" s="123">
        <v>0.02</v>
      </c>
      <c r="O18" s="123">
        <v>1.4999999999999999E-2</v>
      </c>
      <c r="P18" s="123">
        <v>0.01</v>
      </c>
      <c r="Q18" s="123">
        <v>0.01</v>
      </c>
      <c r="R18" s="117"/>
      <c r="S18" s="117"/>
      <c r="T18" s="117"/>
      <c r="U18" s="118"/>
      <c r="V18" s="119"/>
      <c r="W18" s="119"/>
      <c r="X18" s="117"/>
      <c r="Y18" s="117"/>
      <c r="Z18" s="117"/>
      <c r="AA18" s="117"/>
      <c r="AB18" s="117"/>
      <c r="AC18" s="120"/>
    </row>
    <row r="19" spans="1:29" ht="15" outlineLevel="2" collapsed="1" x14ac:dyDescent="0.15">
      <c r="A19" s="205" t="s">
        <v>271</v>
      </c>
      <c r="B19" s="115"/>
      <c r="C19" s="198">
        <v>1318.8</v>
      </c>
      <c r="D19" s="198">
        <v>1256.5999999999999</v>
      </c>
      <c r="E19" s="198">
        <v>1207.5999999999999</v>
      </c>
      <c r="F19" s="198">
        <v>1170.4000000000001</v>
      </c>
      <c r="G19" s="198">
        <v>1129.2</v>
      </c>
      <c r="H19" s="198">
        <v>1077.0999999999999</v>
      </c>
      <c r="I19" s="198">
        <v>1033.5</v>
      </c>
      <c r="J19" s="198">
        <v>994.4</v>
      </c>
      <c r="K19" s="198">
        <v>995.8</v>
      </c>
      <c r="L19" s="198">
        <v>944.3</v>
      </c>
      <c r="M19" s="252">
        <f>L19*(1+M20)</f>
        <v>944.3</v>
      </c>
      <c r="N19" s="252">
        <f t="shared" ref="N19:Q19" si="8">M19*(1+N20)</f>
        <v>944.3</v>
      </c>
      <c r="O19" s="252">
        <f t="shared" si="8"/>
        <v>944.3</v>
      </c>
      <c r="P19" s="252">
        <f t="shared" si="8"/>
        <v>944.3</v>
      </c>
      <c r="Q19" s="252">
        <f t="shared" si="8"/>
        <v>944.3</v>
      </c>
      <c r="R19" s="117"/>
      <c r="S19" s="117"/>
      <c r="T19" s="117"/>
      <c r="U19" s="118"/>
      <c r="V19" s="119"/>
      <c r="W19" s="119"/>
      <c r="X19" s="117"/>
      <c r="Y19" s="117"/>
      <c r="Z19" s="117"/>
      <c r="AA19" s="117"/>
      <c r="AB19" s="117"/>
      <c r="AC19" s="120"/>
    </row>
    <row r="20" spans="1:29" ht="15" outlineLevel="2" x14ac:dyDescent="0.15">
      <c r="A20" s="206" t="s">
        <v>272</v>
      </c>
      <c r="B20" s="115"/>
      <c r="C20" s="198"/>
      <c r="D20" s="207">
        <f>(D19-C19)/C19</f>
        <v>-4.7164088565362486E-2</v>
      </c>
      <c r="E20" s="207">
        <f t="shared" ref="E20:L20" si="9">(E19-D19)/D19</f>
        <v>-3.8994111093426709E-2</v>
      </c>
      <c r="F20" s="207">
        <f t="shared" si="9"/>
        <v>-3.0804902285524859E-2</v>
      </c>
      <c r="G20" s="207">
        <f t="shared" si="9"/>
        <v>-3.5201640464798394E-2</v>
      </c>
      <c r="H20" s="207">
        <f t="shared" si="9"/>
        <v>-4.6138859369465227E-2</v>
      </c>
      <c r="I20" s="207">
        <f t="shared" si="9"/>
        <v>-4.0479064153746087E-2</v>
      </c>
      <c r="J20" s="207">
        <f t="shared" si="9"/>
        <v>-3.7832607643928422E-2</v>
      </c>
      <c r="K20" s="207">
        <f t="shared" si="9"/>
        <v>1.4078841512469604E-3</v>
      </c>
      <c r="L20" s="207">
        <f t="shared" si="9"/>
        <v>-5.1717212291624827E-2</v>
      </c>
      <c r="M20" s="123">
        <v>0</v>
      </c>
      <c r="N20" s="123">
        <v>0</v>
      </c>
      <c r="O20" s="123">
        <v>0</v>
      </c>
      <c r="P20" s="123">
        <v>0</v>
      </c>
      <c r="Q20" s="123">
        <v>0</v>
      </c>
      <c r="R20" s="117"/>
      <c r="S20" s="117"/>
      <c r="T20" s="117"/>
      <c r="U20" s="118"/>
      <c r="V20" s="119"/>
      <c r="W20" s="119"/>
      <c r="X20" s="117"/>
      <c r="Y20" s="117"/>
      <c r="Z20" s="117"/>
      <c r="AA20" s="117"/>
      <c r="AB20" s="117"/>
      <c r="AC20" s="120"/>
    </row>
    <row r="21" spans="1:29" outlineLevel="2" x14ac:dyDescent="0.15">
      <c r="A21" s="206"/>
      <c r="B21" s="115"/>
      <c r="C21" s="198"/>
      <c r="D21" s="207"/>
      <c r="E21" s="207"/>
      <c r="F21" s="207"/>
      <c r="G21" s="207"/>
      <c r="H21" s="207"/>
      <c r="I21" s="207"/>
      <c r="J21" s="207"/>
      <c r="K21" s="207"/>
      <c r="L21" s="207"/>
      <c r="M21" s="123"/>
      <c r="N21" s="123"/>
      <c r="O21" s="123"/>
      <c r="P21" s="117"/>
      <c r="Q21" s="117"/>
      <c r="R21" s="117"/>
      <c r="S21" s="117"/>
      <c r="T21" s="117"/>
      <c r="U21" s="118"/>
      <c r="V21" s="119"/>
      <c r="W21" s="119"/>
      <c r="X21" s="117"/>
      <c r="Y21" s="117"/>
      <c r="Z21" s="117"/>
      <c r="AA21" s="117"/>
      <c r="AB21" s="117"/>
      <c r="AC21" s="120"/>
    </row>
    <row r="22" spans="1:29" ht="15" outlineLevel="2" x14ac:dyDescent="0.15">
      <c r="A22" s="202" t="s">
        <v>260</v>
      </c>
      <c r="B22" s="122"/>
      <c r="C22" s="197">
        <v>2514.5</v>
      </c>
      <c r="D22" s="197">
        <v>2521.7999999999997</v>
      </c>
      <c r="E22" s="197">
        <v>2469.7999999999997</v>
      </c>
      <c r="F22" s="197">
        <v>2513.6999999999998</v>
      </c>
      <c r="G22" s="197">
        <v>2500.1</v>
      </c>
      <c r="H22" s="197">
        <v>2431.6999999999998</v>
      </c>
      <c r="I22" s="197">
        <v>2437.4</v>
      </c>
      <c r="J22" s="197">
        <v>3559.7999999999997</v>
      </c>
      <c r="K22" s="197">
        <v>2289.8999999999996</v>
      </c>
      <c r="L22" s="197">
        <v>2106.5</v>
      </c>
      <c r="M22" s="252">
        <f>M24*M151</f>
        <v>2166.9448393244011</v>
      </c>
      <c r="N22" s="252">
        <f>N24*N151</f>
        <v>2231.6477341999334</v>
      </c>
      <c r="O22" s="252">
        <f>O24*O151</f>
        <v>2291.6061183419474</v>
      </c>
      <c r="P22" s="252">
        <f>P24*P151</f>
        <v>2346.5799799023366</v>
      </c>
      <c r="Q22" s="252">
        <f>Q24*Q151</f>
        <v>2394.3471204125553</v>
      </c>
      <c r="R22" s="117"/>
      <c r="S22" s="117"/>
      <c r="T22" s="117"/>
      <c r="U22" s="118"/>
      <c r="V22" s="119"/>
      <c r="W22" s="119"/>
      <c r="X22" s="117"/>
      <c r="Y22" s="117"/>
      <c r="Z22" s="117"/>
      <c r="AA22" s="117"/>
      <c r="AB22" s="117"/>
      <c r="AC22" s="120"/>
    </row>
    <row r="23" spans="1:29" ht="15" outlineLevel="2" x14ac:dyDescent="0.15">
      <c r="A23" s="206" t="s">
        <v>272</v>
      </c>
      <c r="B23" s="115"/>
      <c r="C23" s="198"/>
      <c r="D23" s="207">
        <f>(D22-C22)/C22</f>
        <v>2.9031616623582134E-3</v>
      </c>
      <c r="E23" s="207">
        <f t="shared" ref="E23:Q23" si="10">(E22-D22)/D22</f>
        <v>-2.0620191926401778E-2</v>
      </c>
      <c r="F23" s="207">
        <f t="shared" si="10"/>
        <v>1.7774718600696453E-2</v>
      </c>
      <c r="G23" s="207">
        <f t="shared" si="10"/>
        <v>-5.4103512750128934E-3</v>
      </c>
      <c r="H23" s="207">
        <f t="shared" si="10"/>
        <v>-2.7358905643774287E-2</v>
      </c>
      <c r="I23" s="207">
        <f t="shared" si="10"/>
        <v>2.3440391495662596E-3</v>
      </c>
      <c r="J23" s="207">
        <f t="shared" si="10"/>
        <v>0.4604906867974069</v>
      </c>
      <c r="K23" s="207">
        <f t="shared" si="10"/>
        <v>-0.35673352435530092</v>
      </c>
      <c r="L23" s="207">
        <f t="shared" si="10"/>
        <v>-8.009083366085841E-2</v>
      </c>
      <c r="M23" s="224">
        <f t="shared" si="10"/>
        <v>2.8694440695182091E-2</v>
      </c>
      <c r="N23" s="224">
        <f t="shared" si="10"/>
        <v>2.9859041033875648E-2</v>
      </c>
      <c r="O23" s="224">
        <f t="shared" si="10"/>
        <v>2.6867315671355106E-2</v>
      </c>
      <c r="P23" s="224">
        <f t="shared" si="10"/>
        <v>2.3989227956925076E-2</v>
      </c>
      <c r="Q23" s="224">
        <f t="shared" si="10"/>
        <v>2.035606751925275E-2</v>
      </c>
      <c r="R23" s="117"/>
      <c r="S23" s="117"/>
      <c r="T23" s="117"/>
      <c r="U23" s="118"/>
      <c r="V23" s="119"/>
      <c r="W23" s="119"/>
      <c r="X23" s="117"/>
      <c r="Y23" s="117"/>
      <c r="Z23" s="117"/>
      <c r="AA23" s="117"/>
      <c r="AB23" s="117"/>
      <c r="AC23" s="120"/>
    </row>
    <row r="24" spans="1:29" ht="15" outlineLevel="2" x14ac:dyDescent="0.15">
      <c r="A24" s="206" t="s">
        <v>524</v>
      </c>
      <c r="B24" s="201"/>
      <c r="C24" s="292">
        <f t="shared" ref="C24:L24" si="11">C22/C151</f>
        <v>5.140560442728085E-2</v>
      </c>
      <c r="D24" s="292">
        <f t="shared" si="11"/>
        <v>4.8732883197996416E-2</v>
      </c>
      <c r="E24" s="292">
        <f t="shared" si="11"/>
        <v>4.9372597388837688E-2</v>
      </c>
      <c r="F24" s="292">
        <f t="shared" si="11"/>
        <v>4.9162052692207643E-2</v>
      </c>
      <c r="G24" s="292">
        <f t="shared" si="11"/>
        <v>4.7132569187844052E-2</v>
      </c>
      <c r="H24" s="292">
        <f t="shared" si="11"/>
        <v>4.7955336083742868E-2</v>
      </c>
      <c r="I24" s="292">
        <f t="shared" si="11"/>
        <v>4.371320094191241E-2</v>
      </c>
      <c r="J24" s="292">
        <f t="shared" si="11"/>
        <v>6.7569542646179537E-2</v>
      </c>
      <c r="K24" s="292">
        <f t="shared" si="11"/>
        <v>4.3909622763435678E-2</v>
      </c>
      <c r="L24" s="292">
        <f t="shared" si="11"/>
        <v>4.8190097524037856E-2</v>
      </c>
      <c r="M24" s="490">
        <f>L24</f>
        <v>4.8190097524037856E-2</v>
      </c>
      <c r="N24" s="490">
        <v>4.8000000000000001E-2</v>
      </c>
      <c r="O24" s="490">
        <v>4.8000000000000001E-2</v>
      </c>
      <c r="P24" s="490">
        <f>O24</f>
        <v>4.8000000000000001E-2</v>
      </c>
      <c r="Q24" s="490">
        <f t="shared" ref="Q24" si="12">P24</f>
        <v>4.8000000000000001E-2</v>
      </c>
      <c r="R24" s="117"/>
      <c r="S24" s="117"/>
      <c r="T24" s="117"/>
      <c r="U24" s="118"/>
      <c r="V24" s="119"/>
      <c r="W24" s="119"/>
      <c r="X24" s="117"/>
      <c r="Y24" s="117"/>
      <c r="Z24" s="117"/>
      <c r="AA24" s="117"/>
      <c r="AB24" s="117"/>
      <c r="AC24" s="120"/>
    </row>
    <row r="25" spans="1:29" ht="15" outlineLevel="2" x14ac:dyDescent="0.15">
      <c r="A25" s="206" t="s">
        <v>272</v>
      </c>
      <c r="B25" s="115"/>
      <c r="C25" s="198"/>
      <c r="D25" s="207">
        <f>(D24-C24)/C24</f>
        <v>-5.1992798432422029E-2</v>
      </c>
      <c r="E25" s="207">
        <f t="shared" ref="E25:K25" si="13">(E24-D24)/D24</f>
        <v>1.3126951431176022E-2</v>
      </c>
      <c r="F25" s="207">
        <f t="shared" si="13"/>
        <v>-4.2644038953811641E-3</v>
      </c>
      <c r="G25" s="207">
        <f t="shared" si="13"/>
        <v>-4.1281504600097205E-2</v>
      </c>
      <c r="H25" s="207">
        <f t="shared" si="13"/>
        <v>1.7456440632797408E-2</v>
      </c>
      <c r="I25" s="207">
        <f t="shared" si="13"/>
        <v>-8.8460127449061218E-2</v>
      </c>
      <c r="J25" s="207">
        <f t="shared" si="13"/>
        <v>0.54574684969806364</v>
      </c>
      <c r="K25" s="207">
        <f t="shared" si="13"/>
        <v>-0.35015657878041917</v>
      </c>
      <c r="L25" s="207">
        <f>(L24-K24)/K24</f>
        <v>9.7483751651963754E-2</v>
      </c>
      <c r="M25" s="224">
        <f t="shared" ref="M25:Q25" si="14">(M24-L24)/L24</f>
        <v>0</v>
      </c>
      <c r="N25" s="224">
        <f t="shared" si="14"/>
        <v>-3.9447424638024819E-3</v>
      </c>
      <c r="O25" s="224">
        <f t="shared" si="14"/>
        <v>0</v>
      </c>
      <c r="P25" s="224">
        <f t="shared" si="14"/>
        <v>0</v>
      </c>
      <c r="Q25" s="224">
        <f t="shared" si="14"/>
        <v>0</v>
      </c>
      <c r="R25" s="117"/>
      <c r="S25" s="117"/>
      <c r="T25" s="117"/>
      <c r="U25" s="118"/>
      <c r="V25" s="119"/>
      <c r="W25" s="119"/>
      <c r="X25" s="117"/>
      <c r="Y25" s="117"/>
      <c r="Z25" s="117"/>
      <c r="AA25" s="117"/>
      <c r="AB25" s="117"/>
      <c r="AC25" s="120"/>
    </row>
    <row r="26" spans="1:29" outlineLevel="2" x14ac:dyDescent="0.15">
      <c r="A26" s="206"/>
      <c r="B26" s="115"/>
      <c r="C26" s="198"/>
      <c r="D26" s="207"/>
      <c r="E26" s="207"/>
      <c r="F26" s="207"/>
      <c r="G26" s="207"/>
      <c r="H26" s="207"/>
      <c r="I26" s="207"/>
      <c r="J26" s="207"/>
      <c r="K26" s="207"/>
      <c r="L26" s="207"/>
      <c r="M26" s="491"/>
      <c r="N26" s="491"/>
      <c r="O26" s="491"/>
      <c r="P26" s="117"/>
      <c r="Q26" s="117"/>
      <c r="R26" s="117"/>
      <c r="S26" s="117"/>
      <c r="T26" s="117"/>
      <c r="U26" s="118"/>
      <c r="V26" s="119"/>
      <c r="W26" s="119"/>
      <c r="X26" s="117"/>
      <c r="Y26" s="117"/>
      <c r="Z26" s="117"/>
      <c r="AA26" s="117"/>
      <c r="AB26" s="117"/>
      <c r="AC26" s="120"/>
    </row>
    <row r="27" spans="1:29" outlineLevel="2" x14ac:dyDescent="0.15">
      <c r="A27" s="206"/>
      <c r="B27" s="115"/>
      <c r="C27" s="198"/>
      <c r="D27" s="207"/>
      <c r="E27" s="207"/>
      <c r="F27" s="207"/>
      <c r="G27" s="207"/>
      <c r="H27" s="207"/>
      <c r="I27" s="207"/>
      <c r="J27" s="207"/>
      <c r="K27" s="207"/>
      <c r="L27" s="207"/>
      <c r="M27" s="123"/>
      <c r="N27" s="123"/>
      <c r="O27" s="123"/>
      <c r="P27" s="117"/>
      <c r="Q27" s="117"/>
      <c r="R27" s="117"/>
      <c r="S27" s="117"/>
      <c r="T27" s="117"/>
      <c r="U27" s="118"/>
      <c r="V27" s="119"/>
      <c r="W27" s="119"/>
      <c r="X27" s="117"/>
      <c r="Y27" s="117"/>
      <c r="Z27" s="117"/>
      <c r="AA27" s="117"/>
      <c r="AB27" s="117"/>
      <c r="AC27" s="120"/>
    </row>
    <row r="28" spans="1:29" ht="15" outlineLevel="2" x14ac:dyDescent="0.15">
      <c r="A28" s="202" t="s">
        <v>261</v>
      </c>
      <c r="B28" s="124"/>
      <c r="C28" s="199">
        <v>229.39999999999998</v>
      </c>
      <c r="D28" s="199">
        <v>205.5</v>
      </c>
      <c r="E28" s="199">
        <v>179.1</v>
      </c>
      <c r="F28" s="199">
        <v>175.1</v>
      </c>
      <c r="G28" s="199">
        <v>189.6</v>
      </c>
      <c r="H28" s="199">
        <v>180.7</v>
      </c>
      <c r="I28" s="199">
        <v>195.89999999999998</v>
      </c>
      <c r="J28" s="199">
        <v>224.2</v>
      </c>
      <c r="K28" s="199">
        <v>242.9</v>
      </c>
      <c r="L28" s="199">
        <v>261.10000000000002</v>
      </c>
      <c r="M28" s="134">
        <f>M30*M11</f>
        <v>243.84105176865398</v>
      </c>
      <c r="N28" s="134">
        <f t="shared" ref="N28:Q28" si="15">N30*N11</f>
        <v>256.98303217036107</v>
      </c>
      <c r="O28" s="134">
        <f t="shared" si="15"/>
        <v>261.29980424476781</v>
      </c>
      <c r="P28" s="134">
        <f t="shared" si="15"/>
        <v>263.62572466349525</v>
      </c>
      <c r="Q28" s="134">
        <f t="shared" si="15"/>
        <v>260.32211689828233</v>
      </c>
      <c r="R28" s="117"/>
      <c r="S28" s="117"/>
      <c r="T28" s="117"/>
      <c r="U28" s="118"/>
      <c r="V28" s="119"/>
      <c r="W28" s="119"/>
      <c r="X28" s="117"/>
      <c r="Y28" s="117"/>
      <c r="Z28" s="117"/>
      <c r="AA28" s="117"/>
      <c r="AB28" s="117"/>
      <c r="AC28" s="120"/>
    </row>
    <row r="29" spans="1:29" ht="15" outlineLevel="2" x14ac:dyDescent="0.15">
      <c r="A29" s="206" t="s">
        <v>272</v>
      </c>
      <c r="B29" s="115"/>
      <c r="C29" s="198"/>
      <c r="D29" s="207">
        <f>(D28-C28)/C28</f>
        <v>-0.10418482999128152</v>
      </c>
      <c r="E29" s="207">
        <f t="shared" ref="E29:L29" si="16">(E28-D28)/D28</f>
        <v>-0.12846715328467156</v>
      </c>
      <c r="F29" s="207">
        <f t="shared" si="16"/>
        <v>-2.2333891680625349E-2</v>
      </c>
      <c r="G29" s="207">
        <f t="shared" si="16"/>
        <v>8.2809822958309534E-2</v>
      </c>
      <c r="H29" s="207">
        <f t="shared" si="16"/>
        <v>-4.6940928270042225E-2</v>
      </c>
      <c r="I29" s="207">
        <f t="shared" si="16"/>
        <v>8.4117321527393416E-2</v>
      </c>
      <c r="J29" s="207">
        <f t="shared" si="16"/>
        <v>0.14446145992853504</v>
      </c>
      <c r="K29" s="207">
        <f t="shared" si="16"/>
        <v>8.3407671721677151E-2</v>
      </c>
      <c r="L29" s="207">
        <f t="shared" si="16"/>
        <v>7.4927953890489979E-2</v>
      </c>
      <c r="M29" s="492">
        <v>0.02</v>
      </c>
      <c r="N29" s="492">
        <v>0</v>
      </c>
      <c r="O29" s="492">
        <v>0</v>
      </c>
      <c r="P29" s="492">
        <v>0</v>
      </c>
      <c r="Q29" s="492">
        <v>0</v>
      </c>
      <c r="R29" s="117"/>
      <c r="S29" s="117"/>
      <c r="T29" s="117"/>
      <c r="U29" s="118"/>
      <c r="V29" s="119"/>
      <c r="W29" s="119"/>
      <c r="X29" s="117"/>
      <c r="Y29" s="117"/>
      <c r="Z29" s="117"/>
      <c r="AA29" s="117"/>
      <c r="AB29" s="117"/>
      <c r="AC29" s="120"/>
    </row>
    <row r="30" spans="1:29" ht="15" outlineLevel="2" x14ac:dyDescent="0.15">
      <c r="A30" s="206" t="s">
        <v>525</v>
      </c>
      <c r="B30" s="201"/>
      <c r="C30" s="292">
        <f>C28/C11</f>
        <v>3.0086429630018226E-2</v>
      </c>
      <c r="D30" s="292">
        <f t="shared" ref="D30:L30" si="17">D28/D11</f>
        <v>2.6355614836095009E-2</v>
      </c>
      <c r="E30" s="292">
        <f t="shared" si="17"/>
        <v>2.2159259625853706E-2</v>
      </c>
      <c r="F30" s="292">
        <f t="shared" si="17"/>
        <v>2.0950740036134341E-2</v>
      </c>
      <c r="G30" s="292">
        <f t="shared" si="17"/>
        <v>2.2053948424468714E-2</v>
      </c>
      <c r="H30" s="292">
        <f t="shared" si="17"/>
        <v>2.0108834755900779E-2</v>
      </c>
      <c r="I30" s="292">
        <f t="shared" si="17"/>
        <v>2.0916972751345346E-2</v>
      </c>
      <c r="J30" s="292">
        <f t="shared" si="17"/>
        <v>2.390676149753148E-2</v>
      </c>
      <c r="K30" s="292">
        <f t="shared" si="17"/>
        <v>2.5619660373378338E-2</v>
      </c>
      <c r="L30" s="292">
        <f t="shared" si="17"/>
        <v>2.7131782945736437E-2</v>
      </c>
      <c r="M30" s="490">
        <f>AVERAGE(I30:L30)</f>
        <v>2.4393794391997899E-2</v>
      </c>
      <c r="N30" s="490">
        <f t="shared" ref="N30:Q30" si="18">AVERAGE(J30:M30)</f>
        <v>2.526299980216104E-2</v>
      </c>
      <c r="O30" s="490">
        <f t="shared" si="18"/>
        <v>2.5602059378318429E-2</v>
      </c>
      <c r="P30" s="490">
        <f t="shared" si="18"/>
        <v>2.559765912955345E-2</v>
      </c>
      <c r="Q30" s="490">
        <f t="shared" si="18"/>
        <v>2.5214128175507704E-2</v>
      </c>
      <c r="R30" s="117"/>
      <c r="S30" s="117"/>
      <c r="T30" s="117"/>
      <c r="U30" s="118"/>
      <c r="V30" s="119"/>
      <c r="W30" s="119"/>
      <c r="X30" s="117"/>
      <c r="Y30" s="117"/>
      <c r="Z30" s="117"/>
      <c r="AA30" s="117"/>
      <c r="AB30" s="117"/>
      <c r="AC30" s="120"/>
    </row>
    <row r="31" spans="1:29" ht="15" outlineLevel="2" x14ac:dyDescent="0.15">
      <c r="A31" s="206" t="s">
        <v>272</v>
      </c>
      <c r="B31" s="115"/>
      <c r="C31" s="198"/>
      <c r="D31" s="207">
        <f t="shared" ref="D31:L31" si="19">(D30-C30)/C30</f>
        <v>-0.12400324132182372</v>
      </c>
      <c r="E31" s="207">
        <f t="shared" si="19"/>
        <v>-0.15922053939315564</v>
      </c>
      <c r="F31" s="207">
        <f t="shared" si="19"/>
        <v>-5.4537904700992727E-2</v>
      </c>
      <c r="G31" s="207">
        <f t="shared" si="19"/>
        <v>5.2657251554438546E-2</v>
      </c>
      <c r="H31" s="207">
        <f t="shared" si="19"/>
        <v>-8.8197978481252104E-2</v>
      </c>
      <c r="I31" s="207">
        <f t="shared" si="19"/>
        <v>4.0188206092221519E-2</v>
      </c>
      <c r="J31" s="207">
        <f t="shared" si="19"/>
        <v>0.14293601572884562</v>
      </c>
      <c r="K31" s="207">
        <f t="shared" si="19"/>
        <v>7.164913892765129E-2</v>
      </c>
      <c r="L31" s="207">
        <f t="shared" si="19"/>
        <v>5.9021960100976288E-2</v>
      </c>
      <c r="M31" s="492">
        <v>0</v>
      </c>
      <c r="N31" s="492">
        <v>0</v>
      </c>
      <c r="O31" s="492">
        <v>0</v>
      </c>
      <c r="P31" s="492">
        <v>0</v>
      </c>
      <c r="Q31" s="492">
        <v>0</v>
      </c>
      <c r="R31" s="117"/>
      <c r="S31" s="117"/>
      <c r="T31" s="117"/>
      <c r="U31" s="118"/>
      <c r="V31" s="119"/>
      <c r="W31" s="119"/>
      <c r="X31" s="117"/>
      <c r="Y31" s="117"/>
      <c r="Z31" s="117"/>
      <c r="AA31" s="117"/>
      <c r="AB31" s="117"/>
      <c r="AC31" s="120"/>
    </row>
    <row r="32" spans="1:29" outlineLevel="2" x14ac:dyDescent="0.15">
      <c r="A32" s="206"/>
      <c r="B32" s="115"/>
      <c r="C32" s="198"/>
      <c r="D32" s="207"/>
      <c r="E32" s="207"/>
      <c r="F32" s="207"/>
      <c r="G32" s="207"/>
      <c r="H32" s="207"/>
      <c r="I32" s="207"/>
      <c r="J32" s="207"/>
      <c r="K32" s="207"/>
      <c r="L32" s="207"/>
      <c r="M32" s="123"/>
      <c r="N32" s="123"/>
      <c r="O32" s="123"/>
      <c r="P32" s="117"/>
      <c r="Q32" s="117"/>
      <c r="R32" s="117"/>
      <c r="S32" s="117"/>
      <c r="T32" s="117"/>
      <c r="U32" s="118"/>
      <c r="V32" s="119"/>
      <c r="W32" s="119"/>
      <c r="X32" s="117"/>
      <c r="Y32" s="117"/>
      <c r="Z32" s="117"/>
      <c r="AA32" s="117"/>
      <c r="AB32" s="117"/>
      <c r="AC32" s="120"/>
    </row>
    <row r="34" spans="1:29" outlineLevel="2" x14ac:dyDescent="0.15">
      <c r="A34" s="125"/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9"/>
      <c r="N34" s="129"/>
      <c r="O34" s="129"/>
      <c r="P34" s="117"/>
      <c r="Q34" s="117"/>
      <c r="R34" s="117"/>
      <c r="S34" s="117"/>
      <c r="T34" s="117"/>
      <c r="U34" s="118"/>
      <c r="V34" s="119"/>
      <c r="W34" s="119"/>
      <c r="X34" s="117"/>
      <c r="Y34" s="117"/>
      <c r="Z34" s="117"/>
      <c r="AA34" s="117"/>
      <c r="AB34" s="117"/>
      <c r="AC34" s="120"/>
    </row>
    <row r="35" spans="1:29" outlineLevel="2" x14ac:dyDescent="0.15">
      <c r="B35" s="11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29"/>
      <c r="N35" s="129"/>
      <c r="O35" s="129"/>
      <c r="P35" s="117"/>
      <c r="Q35" s="117"/>
      <c r="R35" s="117"/>
      <c r="S35" s="117"/>
      <c r="T35" s="117"/>
      <c r="U35" s="118"/>
      <c r="V35" s="119"/>
      <c r="W35" s="119"/>
      <c r="X35" s="117"/>
      <c r="Y35" s="117"/>
      <c r="Z35" s="117"/>
      <c r="AA35" s="117"/>
      <c r="AB35" s="117"/>
      <c r="AC35" s="120"/>
    </row>
    <row r="36" spans="1:29" outlineLevel="2" x14ac:dyDescent="0.15">
      <c r="B36" s="111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9"/>
      <c r="N36" s="129"/>
      <c r="O36" s="129"/>
      <c r="P36" s="117"/>
      <c r="Q36" s="117"/>
      <c r="R36" s="117"/>
      <c r="S36" s="117"/>
      <c r="T36" s="117"/>
      <c r="U36" s="118"/>
      <c r="V36" s="119"/>
      <c r="W36" s="119"/>
      <c r="X36" s="117"/>
      <c r="Y36" s="117"/>
      <c r="Z36" s="117"/>
      <c r="AA36" s="117"/>
      <c r="AB36" s="117"/>
      <c r="AC36" s="120"/>
    </row>
    <row r="37" spans="1:29" outlineLevel="2" x14ac:dyDescent="0.15">
      <c r="A37" s="125" t="s">
        <v>73</v>
      </c>
      <c r="B37" s="126" t="e">
        <f>B22+#REF!+#REF!</f>
        <v>#REF!</v>
      </c>
      <c r="C37" s="111">
        <f t="shared" ref="C37:L37" si="20">C28+C22+C11</f>
        <v>10368.6</v>
      </c>
      <c r="D37" s="111">
        <f t="shared" si="20"/>
        <v>10524.5</v>
      </c>
      <c r="E37" s="111">
        <f t="shared" si="20"/>
        <v>10731.3</v>
      </c>
      <c r="F37" s="111">
        <f t="shared" si="20"/>
        <v>11046.5</v>
      </c>
      <c r="G37" s="111">
        <f t="shared" si="20"/>
        <v>11286.8</v>
      </c>
      <c r="H37" s="111">
        <f t="shared" si="20"/>
        <v>11598.5</v>
      </c>
      <c r="I37" s="111">
        <f t="shared" si="20"/>
        <v>11998.900000000001</v>
      </c>
      <c r="J37" s="111">
        <f t="shared" si="20"/>
        <v>13162.1</v>
      </c>
      <c r="K37" s="111">
        <f t="shared" si="20"/>
        <v>12013.8</v>
      </c>
      <c r="L37" s="111">
        <f t="shared" si="20"/>
        <v>11991</v>
      </c>
      <c r="M37" s="111">
        <f>M28+M11+M22</f>
        <v>12406.813891093054</v>
      </c>
      <c r="N37" s="111">
        <f>N28+N11+N22</f>
        <v>12660.939446370296</v>
      </c>
      <c r="O37" s="111">
        <f t="shared" ref="O37:Q37" si="21">O28+O11+O22</f>
        <v>12759.108493386715</v>
      </c>
      <c r="P37" s="111">
        <f t="shared" si="21"/>
        <v>12909.027301073833</v>
      </c>
      <c r="Q37" s="111">
        <f t="shared" si="21"/>
        <v>12979.123649783916</v>
      </c>
      <c r="R37" s="117"/>
      <c r="S37" s="117"/>
      <c r="T37" s="117"/>
      <c r="U37" s="118"/>
      <c r="V37" s="119"/>
      <c r="W37" s="119"/>
      <c r="X37" s="117"/>
      <c r="Y37" s="117"/>
      <c r="Z37" s="117"/>
      <c r="AA37" s="117"/>
      <c r="AB37" s="117"/>
      <c r="AC37" s="120"/>
    </row>
    <row r="38" spans="1:29" outlineLevel="2" collapsed="1" x14ac:dyDescent="0.15">
      <c r="A38" s="128" t="s">
        <v>74</v>
      </c>
      <c r="C38" s="138"/>
      <c r="D38" s="138">
        <f t="shared" ref="D38:L38" si="22">D37/C37-1</f>
        <v>1.5035781108346358E-2</v>
      </c>
      <c r="E38" s="138">
        <f t="shared" si="22"/>
        <v>1.9649389519692084E-2</v>
      </c>
      <c r="F38" s="138">
        <f t="shared" si="22"/>
        <v>2.9372023892725085E-2</v>
      </c>
      <c r="G38" s="138">
        <f t="shared" si="22"/>
        <v>2.1753496582627818E-2</v>
      </c>
      <c r="H38" s="138">
        <f t="shared" si="22"/>
        <v>2.7616330580855664E-2</v>
      </c>
      <c r="I38" s="138">
        <f t="shared" si="22"/>
        <v>3.4521705392938973E-2</v>
      </c>
      <c r="J38" s="138">
        <f t="shared" si="22"/>
        <v>9.694221970347261E-2</v>
      </c>
      <c r="K38" s="138">
        <f t="shared" si="22"/>
        <v>-8.7242917163674605E-2</v>
      </c>
      <c r="L38" s="138">
        <f t="shared" si="22"/>
        <v>-1.8978175098636196E-3</v>
      </c>
      <c r="M38" s="138">
        <f>M37/L37-1</f>
        <v>3.4677165465186732E-2</v>
      </c>
      <c r="N38" s="138">
        <f t="shared" ref="N38:Q38" si="23">N37/M37-1</f>
        <v>2.0482740976688563E-2</v>
      </c>
      <c r="O38" s="138">
        <f t="shared" si="23"/>
        <v>7.7536937469961931E-3</v>
      </c>
      <c r="P38" s="138">
        <f t="shared" si="23"/>
        <v>1.1749943796216078E-2</v>
      </c>
      <c r="Q38" s="138">
        <f t="shared" si="23"/>
        <v>5.4300255995471947E-3</v>
      </c>
      <c r="R38" s="117"/>
      <c r="S38" s="117"/>
      <c r="T38" s="117"/>
      <c r="U38" s="118"/>
      <c r="V38" s="119" t="s">
        <v>78</v>
      </c>
      <c r="W38" s="119" t="s">
        <v>79</v>
      </c>
      <c r="X38" s="117" cm="1">
        <f t="array" ref="X38">_xll.FDSC("--",$A$1,""&amp;$V38&amp;"("&amp;$W38&amp;","&amp;D$2&amp;",ANNUAL_ROLL,+1,0,,,'CURRENCY="&amp;$E$1&amp;"')")</f>
        <v>12409.291999999999</v>
      </c>
      <c r="Y38" s="117" cm="1">
        <f t="array" ref="Y38">_xll.FDSC("--",$A$1,""&amp;$V38&amp;"("&amp;$W38&amp;","&amp;D$2&amp;",ANNUAL_ROLL,+2,0,,,'CURRENCY="&amp;$E$1&amp;"')")</f>
        <v>12843.692999999999</v>
      </c>
      <c r="Z38" s="117" cm="1">
        <f t="array" ref="Z38">_xll.FDSC("--",$A$1,""&amp;$V38&amp;"("&amp;$W38&amp;","&amp;D$2&amp;",ANNUAL_ROLL,+3,0,,,'CURRENCY="&amp;$E$1&amp;"')")</f>
        <v>13270.742</v>
      </c>
      <c r="AA38" s="117"/>
      <c r="AB38" s="117"/>
      <c r="AC38" s="120"/>
    </row>
    <row r="39" spans="1:29" outlineLevel="2" x14ac:dyDescent="0.15">
      <c r="A39" s="132"/>
      <c r="B39" s="110"/>
      <c r="C39" s="127"/>
      <c r="D39" s="127"/>
      <c r="E39" s="111"/>
      <c r="F39" s="111"/>
      <c r="G39" s="111"/>
      <c r="H39" s="111"/>
      <c r="I39" s="111"/>
      <c r="J39" s="111"/>
      <c r="K39" s="111"/>
      <c r="L39" s="111"/>
      <c r="M39" s="126"/>
      <c r="N39" s="126"/>
      <c r="O39" s="126"/>
      <c r="P39" s="117"/>
      <c r="Q39" s="117"/>
      <c r="R39" s="117"/>
      <c r="S39" s="117"/>
      <c r="T39" s="117"/>
      <c r="U39" s="118"/>
      <c r="V39" s="119"/>
      <c r="W39" s="119"/>
      <c r="X39" s="117"/>
      <c r="Y39" s="117"/>
      <c r="Z39" s="117"/>
      <c r="AA39" s="117"/>
      <c r="AB39" s="117"/>
      <c r="AC39" s="120"/>
    </row>
    <row r="40" spans="1:29" outlineLevel="2" x14ac:dyDescent="0.15">
      <c r="A40" s="125" t="s">
        <v>75</v>
      </c>
      <c r="B40" s="133" t="e">
        <f>B43-B37</f>
        <v>#REF!</v>
      </c>
      <c r="C40" s="134">
        <f>C37-C43</f>
        <v>14.800000000001091</v>
      </c>
      <c r="D40" s="134">
        <f t="shared" ref="D40:L40" si="24">D37-D43</f>
        <v>14.799999999999272</v>
      </c>
      <c r="E40" s="134">
        <f t="shared" si="24"/>
        <v>0</v>
      </c>
      <c r="F40" s="134">
        <f t="shared" si="24"/>
        <v>0</v>
      </c>
      <c r="G40" s="134">
        <f t="shared" si="24"/>
        <v>0</v>
      </c>
      <c r="H40" s="134">
        <f t="shared" si="24"/>
        <v>0</v>
      </c>
      <c r="I40" s="134">
        <f t="shared" si="24"/>
        <v>0</v>
      </c>
      <c r="J40" s="134">
        <f t="shared" si="24"/>
        <v>0</v>
      </c>
      <c r="K40" s="134">
        <f t="shared" si="24"/>
        <v>0</v>
      </c>
      <c r="L40" s="134">
        <f t="shared" si="24"/>
        <v>0</v>
      </c>
      <c r="M40" s="129"/>
      <c r="N40" s="129"/>
      <c r="O40" s="129"/>
      <c r="P40" s="117"/>
      <c r="Q40" s="117"/>
      <c r="R40" s="117"/>
      <c r="S40" s="117"/>
      <c r="T40" s="117"/>
      <c r="U40" s="118"/>
      <c r="V40" s="119"/>
      <c r="W40" s="119"/>
      <c r="X40" s="117"/>
      <c r="Y40" s="117"/>
      <c r="Z40" s="117"/>
      <c r="AA40" s="117"/>
      <c r="AB40" s="117"/>
      <c r="AC40" s="120"/>
    </row>
    <row r="41" spans="1:29" outlineLevel="2" x14ac:dyDescent="0.15">
      <c r="A41" s="128" t="s">
        <v>76</v>
      </c>
      <c r="B41" s="135" t="e">
        <f>B40/B$37</f>
        <v>#REF!</v>
      </c>
      <c r="C41" s="136">
        <f>C40/C37</f>
        <v>1.4273865324152819E-3</v>
      </c>
      <c r="D41" s="136">
        <f t="shared" ref="D41:L41" si="25">D40/D37</f>
        <v>1.4062425768444366E-3</v>
      </c>
      <c r="E41" s="136">
        <f t="shared" si="25"/>
        <v>0</v>
      </c>
      <c r="F41" s="136">
        <f t="shared" si="25"/>
        <v>0</v>
      </c>
      <c r="G41" s="136">
        <f t="shared" si="25"/>
        <v>0</v>
      </c>
      <c r="H41" s="136">
        <f t="shared" si="25"/>
        <v>0</v>
      </c>
      <c r="I41" s="136">
        <f t="shared" si="25"/>
        <v>0</v>
      </c>
      <c r="J41" s="136">
        <f t="shared" si="25"/>
        <v>0</v>
      </c>
      <c r="K41" s="136">
        <f t="shared" si="25"/>
        <v>0</v>
      </c>
      <c r="L41" s="136">
        <f t="shared" si="25"/>
        <v>0</v>
      </c>
      <c r="M41" s="129"/>
      <c r="N41" s="129"/>
      <c r="O41" s="111"/>
      <c r="P41" s="117"/>
      <c r="Q41" s="117"/>
      <c r="R41" s="117"/>
      <c r="S41" s="117"/>
      <c r="T41" s="117"/>
      <c r="U41" s="118"/>
      <c r="V41" s="119"/>
      <c r="W41" s="119"/>
      <c r="X41" s="117"/>
      <c r="Y41" s="117"/>
      <c r="Z41" s="117"/>
      <c r="AA41" s="117"/>
      <c r="AB41" s="117"/>
      <c r="AC41" s="120"/>
    </row>
    <row r="42" spans="1:29" outlineLevel="2" x14ac:dyDescent="0.15">
      <c r="A42" s="125"/>
      <c r="B42" s="127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1"/>
      <c r="N42" s="131"/>
      <c r="O42" s="111"/>
      <c r="P42" s="111"/>
      <c r="Q42" s="111"/>
      <c r="R42" s="111"/>
      <c r="S42" s="111"/>
      <c r="T42" s="111"/>
      <c r="V42" s="119"/>
      <c r="W42" s="119"/>
      <c r="X42" s="117"/>
      <c r="Y42" s="117"/>
      <c r="Z42" s="117"/>
      <c r="AA42" s="117"/>
    </row>
    <row r="43" spans="1:29" outlineLevel="2" x14ac:dyDescent="0.15">
      <c r="A43" s="125" t="s">
        <v>77</v>
      </c>
      <c r="B43" s="137">
        <f>'Broker Actual'!E11</f>
        <v>10515.4</v>
      </c>
      <c r="C43" s="137">
        <f>'Broker Actual'!F11</f>
        <v>10353.799999999999</v>
      </c>
      <c r="D43" s="137">
        <f>'Broker Actual'!G11</f>
        <v>10509.7</v>
      </c>
      <c r="E43" s="137">
        <f>'Broker Actual'!H11</f>
        <v>10731.3</v>
      </c>
      <c r="F43" s="137">
        <f>'Broker Actual'!I11</f>
        <v>11046.5</v>
      </c>
      <c r="G43" s="137">
        <f>'Broker Actual'!J11</f>
        <v>11286.8</v>
      </c>
      <c r="H43" s="137">
        <f>'Broker Actual'!K11</f>
        <v>11598.5</v>
      </c>
      <c r="I43" s="137">
        <f>'Broker Actual'!L11</f>
        <v>11998.9</v>
      </c>
      <c r="J43" s="137">
        <f>'Broker Actual'!M11</f>
        <v>13162.1</v>
      </c>
      <c r="K43" s="137">
        <f>'Broker Actual'!N11</f>
        <v>12013.8</v>
      </c>
      <c r="L43" s="137">
        <f>'Broker Actual'!O11</f>
        <v>11991</v>
      </c>
      <c r="N43" s="77"/>
      <c r="T43" s="78"/>
      <c r="U43" s="435"/>
      <c r="V43" s="119"/>
      <c r="W43" s="119"/>
      <c r="X43" s="117"/>
      <c r="Y43" s="117"/>
      <c r="Z43" s="117"/>
      <c r="AA43" s="117"/>
      <c r="AB43" s="78"/>
      <c r="AC43" s="78"/>
    </row>
    <row r="44" spans="1:29" outlineLevel="2" x14ac:dyDescent="0.15">
      <c r="A44" s="128" t="s">
        <v>74</v>
      </c>
      <c r="C44" s="138">
        <f>C43/B43-1</f>
        <v>-1.5367936550202632E-2</v>
      </c>
      <c r="D44" s="138">
        <f t="shared" ref="D44:L44" si="26">D43/C43-1</f>
        <v>1.5057273657980819E-2</v>
      </c>
      <c r="E44" s="138">
        <f t="shared" si="26"/>
        <v>2.1085283119403941E-2</v>
      </c>
      <c r="F44" s="138">
        <f t="shared" si="26"/>
        <v>2.9372023892725085E-2</v>
      </c>
      <c r="G44" s="138">
        <f t="shared" si="26"/>
        <v>2.1753496582627818E-2</v>
      </c>
      <c r="H44" s="138">
        <f t="shared" si="26"/>
        <v>2.7616330580855664E-2</v>
      </c>
      <c r="I44" s="138">
        <f t="shared" si="26"/>
        <v>3.4521705392938751E-2</v>
      </c>
      <c r="J44" s="138">
        <f t="shared" si="26"/>
        <v>9.6942219703472832E-2</v>
      </c>
      <c r="K44" s="138">
        <f t="shared" si="26"/>
        <v>-8.7242917163674605E-2</v>
      </c>
      <c r="L44" s="138">
        <f t="shared" si="26"/>
        <v>-1.8978175098636196E-3</v>
      </c>
      <c r="M44" s="298"/>
      <c r="N44" s="126"/>
      <c r="O44" s="126"/>
      <c r="P44" s="117"/>
      <c r="Q44" s="117"/>
      <c r="R44" s="117"/>
      <c r="S44" s="117"/>
      <c r="T44" s="117"/>
      <c r="U44" s="118"/>
      <c r="V44" s="119"/>
      <c r="W44" s="119"/>
      <c r="X44" s="117"/>
      <c r="Y44" s="117"/>
      <c r="Z44" s="117"/>
      <c r="AA44" s="117"/>
      <c r="AB44" s="117"/>
      <c r="AC44" s="120"/>
    </row>
    <row r="45" spans="1:29" outlineLevel="2" collapsed="1" x14ac:dyDescent="0.15">
      <c r="A45" s="12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17"/>
      <c r="Q45" s="117"/>
      <c r="R45" s="117"/>
      <c r="S45" s="117"/>
      <c r="T45" s="117"/>
      <c r="U45" s="118"/>
      <c r="V45" s="119"/>
      <c r="W45" s="119"/>
      <c r="X45" s="117"/>
      <c r="Y45" s="117"/>
      <c r="Z45" s="117"/>
      <c r="AA45" s="117"/>
      <c r="AB45" s="117"/>
      <c r="AC45" s="120"/>
    </row>
    <row r="46" spans="1:29" outlineLevel="2" x14ac:dyDescent="0.15">
      <c r="A46" s="78" t="str">
        <f>"Reconcile "&amp;A49&amp;" with"&amp;" above"</f>
        <v>Reconcile Revenue (Historical Data: Broker Actual) with above</v>
      </c>
      <c r="B46" s="139">
        <f t="shared" ref="B46:L46" si="27">B49-B43</f>
        <v>0</v>
      </c>
      <c r="C46" s="139">
        <f>C49-C43</f>
        <v>0</v>
      </c>
      <c r="D46" s="139">
        <f t="shared" si="27"/>
        <v>0</v>
      </c>
      <c r="E46" s="139">
        <f t="shared" si="27"/>
        <v>0</v>
      </c>
      <c r="F46" s="139">
        <f t="shared" si="27"/>
        <v>0</v>
      </c>
      <c r="G46" s="139">
        <f t="shared" si="27"/>
        <v>0</v>
      </c>
      <c r="H46" s="139">
        <f t="shared" si="27"/>
        <v>0</v>
      </c>
      <c r="I46" s="139">
        <f t="shared" si="27"/>
        <v>0</v>
      </c>
      <c r="J46" s="139">
        <f t="shared" si="27"/>
        <v>0</v>
      </c>
      <c r="K46" s="139">
        <f t="shared" si="27"/>
        <v>0</v>
      </c>
      <c r="L46" s="139">
        <f t="shared" si="27"/>
        <v>0</v>
      </c>
      <c r="M46" s="141"/>
      <c r="N46" s="141"/>
      <c r="O46" s="141"/>
      <c r="P46" s="111"/>
      <c r="Q46" s="111"/>
      <c r="R46" s="111"/>
      <c r="S46" s="111"/>
      <c r="T46" s="111"/>
      <c r="V46" s="119"/>
      <c r="W46" s="119"/>
      <c r="X46" s="117"/>
      <c r="Y46" s="117"/>
      <c r="Z46" s="117"/>
      <c r="AA46" s="117"/>
    </row>
    <row r="47" spans="1:29" outlineLevel="2" x14ac:dyDescent="0.15">
      <c r="A47" s="128" t="s">
        <v>76</v>
      </c>
      <c r="B47" s="135" t="e">
        <f>B46/B$37</f>
        <v>#REF!</v>
      </c>
      <c r="C47" s="138">
        <f>C46/C43</f>
        <v>0</v>
      </c>
      <c r="D47" s="138">
        <f t="shared" ref="D47:L47" si="28">D46/D43</f>
        <v>0</v>
      </c>
      <c r="E47" s="138">
        <f t="shared" si="28"/>
        <v>0</v>
      </c>
      <c r="F47" s="138">
        <f t="shared" si="28"/>
        <v>0</v>
      </c>
      <c r="G47" s="138">
        <f t="shared" si="28"/>
        <v>0</v>
      </c>
      <c r="H47" s="138">
        <f t="shared" si="28"/>
        <v>0</v>
      </c>
      <c r="I47" s="138">
        <f t="shared" si="28"/>
        <v>0</v>
      </c>
      <c r="J47" s="138">
        <f t="shared" si="28"/>
        <v>0</v>
      </c>
      <c r="K47" s="138">
        <f t="shared" si="28"/>
        <v>0</v>
      </c>
      <c r="L47" s="138">
        <f t="shared" si="28"/>
        <v>0</v>
      </c>
      <c r="M47" s="114"/>
      <c r="N47" s="114"/>
      <c r="O47" s="114"/>
      <c r="P47" s="111"/>
      <c r="Q47" s="111"/>
      <c r="R47" s="111"/>
      <c r="S47" s="111"/>
      <c r="T47" s="111"/>
      <c r="V47" s="119"/>
      <c r="W47" s="119"/>
      <c r="X47" s="117"/>
      <c r="Y47" s="117"/>
      <c r="Z47" s="117"/>
      <c r="AA47" s="117"/>
    </row>
    <row r="48" spans="1:29" outlineLevel="2" x14ac:dyDescent="0.15">
      <c r="L48" s="139"/>
      <c r="M48" s="114"/>
      <c r="N48" s="114"/>
      <c r="O48" s="114"/>
      <c r="P48" s="111"/>
      <c r="Q48" s="111"/>
      <c r="R48" s="111"/>
      <c r="S48" s="111"/>
      <c r="T48" s="111"/>
      <c r="V48" s="119"/>
      <c r="W48" s="119"/>
      <c r="X48" s="117"/>
      <c r="Y48" s="117"/>
      <c r="Z48" s="117"/>
      <c r="AA48" s="117"/>
    </row>
    <row r="49" spans="1:38" outlineLevel="2" x14ac:dyDescent="0.15">
      <c r="A49" s="108" t="str">
        <f>"Revenue (Historical Data: "&amp;B2&amp;")"</f>
        <v>Revenue (Historical Data: Broker Actual)</v>
      </c>
      <c r="B49" s="140">
        <f>CHOOSE(IF($B$1=2,2,1),'GAAP-IFRS'!E11,IF('Broker Actual'!E11="-",'GAAP-IFRS'!E11,'Broker Actual'!E11))</f>
        <v>10515.4</v>
      </c>
      <c r="C49" s="140">
        <f>CHOOSE(IF($B$1=2,2,1),'GAAP-IFRS'!F11,IF('Broker Actual'!F11="-",'GAAP-IFRS'!F11,'Broker Actual'!F11))</f>
        <v>10353.799999999999</v>
      </c>
      <c r="D49" s="140">
        <f>CHOOSE(IF($B$1=2,2,1),'GAAP-IFRS'!G11,IF('Broker Actual'!G11="-",'GAAP-IFRS'!G11,'Broker Actual'!G11))</f>
        <v>10509.7</v>
      </c>
      <c r="E49" s="140">
        <f>CHOOSE(IF($B$1=2,2,1),'GAAP-IFRS'!H11,IF('Broker Actual'!H11="-",'GAAP-IFRS'!H11,'Broker Actual'!H11))</f>
        <v>10731.3</v>
      </c>
      <c r="F49" s="140">
        <f>CHOOSE(IF($B$1=2,2,1),'GAAP-IFRS'!I11,IF('Broker Actual'!I11="-",'GAAP-IFRS'!I11,'Broker Actual'!I11))</f>
        <v>11046.5</v>
      </c>
      <c r="G49" s="140">
        <f>CHOOSE(IF($B$1=2,2,1),'GAAP-IFRS'!J11,IF('Broker Actual'!J11="-",'GAAP-IFRS'!J11,'Broker Actual'!J11))</f>
        <v>11286.8</v>
      </c>
      <c r="H49" s="140">
        <f>CHOOSE(IF($B$1=2,2,1),'GAAP-IFRS'!K11,IF('Broker Actual'!K11="-",'GAAP-IFRS'!K11,'Broker Actual'!K11))</f>
        <v>11598.5</v>
      </c>
      <c r="I49" s="140">
        <f>CHOOSE(IF($B$1=2,2,1),'GAAP-IFRS'!L11,IF('Broker Actual'!L11="-",'GAAP-IFRS'!L11,'Broker Actual'!L11))</f>
        <v>11998.9</v>
      </c>
      <c r="J49" s="140">
        <f>CHOOSE(IF($B$1=2,2,1),'GAAP-IFRS'!M11,IF('Broker Actual'!M11="-",'GAAP-IFRS'!M11,'Broker Actual'!M11))</f>
        <v>13162.1</v>
      </c>
      <c r="K49" s="140">
        <f>CHOOSE(IF($B$1=2,2,1),'GAAP-IFRS'!N11,IF('Broker Actual'!N11="-",'GAAP-IFRS'!N11,'Broker Actual'!N11))</f>
        <v>12013.8</v>
      </c>
      <c r="L49" s="140">
        <f>CHOOSE(IF($B$1=2,2,1),'GAAP-IFRS'!O11,IF('Broker Actual'!O11="-",'GAAP-IFRS'!O11,'Broker Actual'!O11))</f>
        <v>11991</v>
      </c>
      <c r="M49" s="126">
        <f>M37+M46</f>
        <v>12406.813891093054</v>
      </c>
      <c r="N49" s="126">
        <f t="shared" ref="N49:Q49" si="29">N37+N46</f>
        <v>12660.939446370296</v>
      </c>
      <c r="O49" s="126">
        <f t="shared" si="29"/>
        <v>12759.108493386715</v>
      </c>
      <c r="P49" s="126">
        <f t="shared" si="29"/>
        <v>12909.027301073833</v>
      </c>
      <c r="Q49" s="126">
        <f t="shared" si="29"/>
        <v>12979.123649783916</v>
      </c>
      <c r="R49" s="111"/>
      <c r="S49" s="111"/>
      <c r="T49" s="111"/>
      <c r="V49" s="119"/>
      <c r="W49" s="119"/>
      <c r="X49" s="117"/>
      <c r="Y49" s="117"/>
      <c r="Z49" s="117"/>
      <c r="AA49" s="117"/>
    </row>
    <row r="50" spans="1:38" outlineLevel="2" x14ac:dyDescent="0.15">
      <c r="A50" s="128" t="s">
        <v>74</v>
      </c>
      <c r="C50" s="138">
        <f>C49/B49-1</f>
        <v>-1.5367936550202632E-2</v>
      </c>
      <c r="D50" s="138">
        <f t="shared" ref="D50:Q50" si="30">D49/C49-1</f>
        <v>1.5057273657980819E-2</v>
      </c>
      <c r="E50" s="138">
        <f t="shared" si="30"/>
        <v>2.1085283119403941E-2</v>
      </c>
      <c r="F50" s="138">
        <f t="shared" si="30"/>
        <v>2.9372023892725085E-2</v>
      </c>
      <c r="G50" s="138">
        <f t="shared" si="30"/>
        <v>2.1753496582627818E-2</v>
      </c>
      <c r="H50" s="138">
        <f t="shared" si="30"/>
        <v>2.7616330580855664E-2</v>
      </c>
      <c r="I50" s="138">
        <f t="shared" si="30"/>
        <v>3.4521705392938751E-2</v>
      </c>
      <c r="J50" s="138">
        <f t="shared" si="30"/>
        <v>9.6942219703472832E-2</v>
      </c>
      <c r="K50" s="138">
        <f t="shared" si="30"/>
        <v>-8.7242917163674605E-2</v>
      </c>
      <c r="L50" s="138">
        <f t="shared" si="30"/>
        <v>-1.8978175098636196E-3</v>
      </c>
      <c r="M50" s="138">
        <f t="shared" si="30"/>
        <v>3.4677165465186732E-2</v>
      </c>
      <c r="N50" s="138">
        <f t="shared" si="30"/>
        <v>2.0482740976688563E-2</v>
      </c>
      <c r="O50" s="138">
        <f t="shared" si="30"/>
        <v>7.7536937469961931E-3</v>
      </c>
      <c r="P50" s="138">
        <f t="shared" si="30"/>
        <v>1.1749943796216078E-2</v>
      </c>
      <c r="Q50" s="138">
        <f t="shared" si="30"/>
        <v>5.4300255995471947E-3</v>
      </c>
      <c r="R50" s="111"/>
      <c r="S50" s="111"/>
      <c r="T50" s="111"/>
      <c r="V50" s="119"/>
      <c r="W50" s="119"/>
      <c r="X50" s="117"/>
      <c r="Y50" s="117"/>
      <c r="Z50" s="117"/>
      <c r="AA50" s="117"/>
    </row>
    <row r="51" spans="1:38" outlineLevel="2" x14ac:dyDescent="0.15">
      <c r="A51" s="12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14"/>
      <c r="N51" s="114"/>
      <c r="O51" s="114"/>
      <c r="P51" s="111"/>
      <c r="Q51" s="111"/>
      <c r="R51" s="111"/>
      <c r="S51" s="111"/>
      <c r="T51" s="111"/>
      <c r="V51" s="119"/>
      <c r="W51" s="119"/>
      <c r="X51" s="117"/>
      <c r="Y51" s="117"/>
      <c r="Z51" s="117"/>
      <c r="AA51" s="117"/>
    </row>
    <row r="52" spans="1:38" outlineLevel="2" x14ac:dyDescent="0.15">
      <c r="A52" s="108" t="s">
        <v>80</v>
      </c>
      <c r="B52" s="117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11"/>
      <c r="Q52" s="111"/>
      <c r="R52" s="111"/>
      <c r="S52" s="111"/>
      <c r="T52" s="111"/>
      <c r="V52" s="119"/>
      <c r="W52" s="119"/>
      <c r="X52" s="117"/>
      <c r="Y52" s="117"/>
      <c r="Z52" s="117"/>
      <c r="AA52" s="117"/>
    </row>
    <row r="53" spans="1:38" ht="14.5" customHeight="1" outlineLevel="2" x14ac:dyDescent="0.15">
      <c r="A53" s="202" t="s">
        <v>262</v>
      </c>
      <c r="B53" s="122"/>
      <c r="C53" s="198">
        <v>6595.7</v>
      </c>
      <c r="D53" s="198">
        <v>7310.8</v>
      </c>
      <c r="E53" s="198">
        <v>6782.8</v>
      </c>
      <c r="F53" s="198">
        <v>6941.8</v>
      </c>
      <c r="G53" s="198">
        <v>7055.7</v>
      </c>
      <c r="H53" s="198">
        <v>8020.4</v>
      </c>
      <c r="I53" s="198">
        <v>7496.2</v>
      </c>
      <c r="J53" s="198">
        <v>8972.9</v>
      </c>
      <c r="K53" s="198">
        <v>7598.6</v>
      </c>
      <c r="L53" s="198">
        <v>6936.7</v>
      </c>
      <c r="M53" s="225">
        <f>M55+M58</f>
        <v>6928.1788000000006</v>
      </c>
      <c r="N53" s="225">
        <f>N55+N58</f>
        <v>7336.6578120000013</v>
      </c>
      <c r="O53" s="225">
        <f>O55+O58</f>
        <v>7367.1623137200004</v>
      </c>
      <c r="P53" s="225">
        <f t="shared" ref="P53:Q53" si="31">P55+P58</f>
        <v>7432.3352368572014</v>
      </c>
      <c r="Q53" s="225">
        <f t="shared" si="31"/>
        <v>7455.4047712257725</v>
      </c>
      <c r="R53" s="111"/>
      <c r="S53" s="111"/>
      <c r="T53" s="111"/>
      <c r="V53" s="119"/>
      <c r="W53" s="119"/>
      <c r="X53" s="117"/>
      <c r="Y53" s="117"/>
      <c r="Z53" s="117"/>
      <c r="AA53" s="117"/>
    </row>
    <row r="54" spans="1:38" outlineLevel="2" x14ac:dyDescent="0.15">
      <c r="A54" s="294" t="s">
        <v>74</v>
      </c>
      <c r="B54" s="295"/>
      <c r="C54" s="296"/>
      <c r="D54" s="296">
        <f t="shared" ref="D54:H54" si="32">D53/C53-1</f>
        <v>0.10841912154888789</v>
      </c>
      <c r="E54" s="296">
        <f t="shared" si="32"/>
        <v>-7.2221918257919793E-2</v>
      </c>
      <c r="F54" s="296">
        <f t="shared" si="32"/>
        <v>2.344164651766234E-2</v>
      </c>
      <c r="G54" s="296">
        <f t="shared" si="32"/>
        <v>1.6407848108559664E-2</v>
      </c>
      <c r="H54" s="296">
        <f t="shared" si="32"/>
        <v>0.13672633473645424</v>
      </c>
      <c r="I54" s="296">
        <f>I53/H53-1</f>
        <v>-6.5358336242581361E-2</v>
      </c>
      <c r="J54" s="296">
        <f t="shared" ref="J54:Q54" si="33">J53/I53-1</f>
        <v>0.1969931431925509</v>
      </c>
      <c r="K54" s="296">
        <f t="shared" si="33"/>
        <v>-0.15316118534698919</v>
      </c>
      <c r="L54" s="296">
        <f t="shared" si="33"/>
        <v>-8.7108151501592457E-2</v>
      </c>
      <c r="M54" s="138">
        <f t="shared" si="33"/>
        <v>-1.2284227370362721E-3</v>
      </c>
      <c r="N54" s="138">
        <f t="shared" si="33"/>
        <v>5.895907478600293E-2</v>
      </c>
      <c r="O54" s="138">
        <f t="shared" si="33"/>
        <v>4.1578198822500578E-3</v>
      </c>
      <c r="P54" s="138">
        <f t="shared" si="33"/>
        <v>8.8464079331913581E-3</v>
      </c>
      <c r="Q54" s="138">
        <f t="shared" si="33"/>
        <v>3.1039415787070812E-3</v>
      </c>
      <c r="R54" s="117"/>
      <c r="S54" s="117"/>
      <c r="T54" s="117"/>
      <c r="U54" s="118"/>
      <c r="V54" s="119"/>
      <c r="W54" s="119"/>
      <c r="X54" s="117"/>
      <c r="Y54" s="117"/>
      <c r="Z54" s="117"/>
      <c r="AA54" s="117"/>
      <c r="AB54" s="117"/>
      <c r="AC54" s="120"/>
    </row>
    <row r="55" spans="1:38" ht="15" outlineLevel="2" collapsed="1" x14ac:dyDescent="0.15">
      <c r="A55" s="205" t="s">
        <v>268</v>
      </c>
      <c r="B55" s="122"/>
      <c r="C55" s="198"/>
      <c r="D55" s="198"/>
      <c r="E55" s="198"/>
      <c r="F55" s="198"/>
      <c r="G55" s="198"/>
      <c r="H55" s="198"/>
      <c r="I55" s="198">
        <f t="shared" ref="I55:Q55" si="34">I57*I13</f>
        <v>4476.3504000000003</v>
      </c>
      <c r="J55" s="198">
        <f t="shared" si="34"/>
        <v>4399.8158999999996</v>
      </c>
      <c r="K55" s="198">
        <f t="shared" si="34"/>
        <v>4661.826</v>
      </c>
      <c r="L55" s="198">
        <f t="shared" si="34"/>
        <v>4174.2861000000003</v>
      </c>
      <c r="M55" s="126">
        <f t="shared" si="34"/>
        <v>4032.8000000000006</v>
      </c>
      <c r="N55" s="126">
        <f t="shared" si="34"/>
        <v>4233.1800000000012</v>
      </c>
      <c r="O55" s="126">
        <f t="shared" si="34"/>
        <v>4233.1800000000012</v>
      </c>
      <c r="P55" s="126">
        <f t="shared" si="34"/>
        <v>4275.5118000000011</v>
      </c>
      <c r="Q55" s="126">
        <f t="shared" si="34"/>
        <v>4275.5118000000011</v>
      </c>
      <c r="R55" s="117"/>
      <c r="S55" s="117"/>
      <c r="T55" s="117"/>
      <c r="U55" s="118"/>
      <c r="V55" s="147"/>
      <c r="W55" s="147"/>
      <c r="X55" s="145"/>
      <c r="Y55" s="145"/>
      <c r="Z55" s="145"/>
      <c r="AA55" s="145"/>
      <c r="AB55" s="117"/>
      <c r="AC55" s="120"/>
    </row>
    <row r="56" spans="1:38" ht="15" outlineLevel="2" x14ac:dyDescent="0.15">
      <c r="A56" s="206" t="s">
        <v>272</v>
      </c>
      <c r="B56" s="122"/>
      <c r="C56" s="198"/>
      <c r="D56" s="198"/>
      <c r="E56" s="198"/>
      <c r="F56" s="198"/>
      <c r="G56" s="198"/>
      <c r="H56" s="198"/>
      <c r="I56" s="198"/>
      <c r="J56" s="207">
        <f>(J55-I55)/I55</f>
        <v>-1.7097522124273529E-2</v>
      </c>
      <c r="K56" s="207">
        <f t="shared" ref="K56:Q56" si="35">(K55-J55)/J55</f>
        <v>5.9550241636246747E-2</v>
      </c>
      <c r="L56" s="207">
        <f t="shared" si="35"/>
        <v>-0.1045813164197891</v>
      </c>
      <c r="M56" s="224">
        <f t="shared" si="35"/>
        <v>-3.3894682015207248E-2</v>
      </c>
      <c r="N56" s="224">
        <f>(N55-M55)/M55</f>
        <v>4.9687561991668454E-2</v>
      </c>
      <c r="O56" s="224">
        <f t="shared" si="35"/>
        <v>0</v>
      </c>
      <c r="P56" s="224">
        <f t="shared" si="35"/>
        <v>9.9999999999999811E-3</v>
      </c>
      <c r="Q56" s="224">
        <f t="shared" si="35"/>
        <v>0</v>
      </c>
      <c r="R56" s="111"/>
      <c r="S56" s="111"/>
      <c r="T56" s="111"/>
      <c r="V56" s="119"/>
      <c r="W56" s="119"/>
      <c r="X56" s="117"/>
      <c r="Y56" s="117"/>
      <c r="Z56" s="117"/>
      <c r="AA56" s="117"/>
    </row>
    <row r="57" spans="1:38" ht="15" outlineLevel="2" x14ac:dyDescent="0.15">
      <c r="A57" s="206" t="s">
        <v>273</v>
      </c>
      <c r="B57" s="122"/>
      <c r="C57" s="198"/>
      <c r="D57" s="198"/>
      <c r="E57" s="198"/>
      <c r="F57" s="198"/>
      <c r="G57" s="198"/>
      <c r="H57" s="198"/>
      <c r="I57" s="216">
        <v>0.74399999999999999</v>
      </c>
      <c r="J57" s="216">
        <v>0.73099999999999998</v>
      </c>
      <c r="K57" s="216">
        <v>0.76700000000000002</v>
      </c>
      <c r="L57" s="216">
        <v>0.66700000000000004</v>
      </c>
      <c r="M57" s="369">
        <f>'Unum US Breakout - Bear'!AO12</f>
        <v>0.61198537110945872</v>
      </c>
      <c r="N57" s="369">
        <f>'Unum US Breakout - Bear'!AP12</f>
        <v>0.62956276026174895</v>
      </c>
      <c r="O57" s="369">
        <f>'Unum US Breakout - Bear'!AQ12</f>
        <v>0.62956276026174895</v>
      </c>
      <c r="P57" s="369">
        <f>O57</f>
        <v>0.62956276026174895</v>
      </c>
      <c r="Q57" s="369">
        <f>P57</f>
        <v>0.62956276026174895</v>
      </c>
      <c r="R57" s="111"/>
      <c r="S57" s="111"/>
      <c r="T57" s="111"/>
      <c r="V57" s="119"/>
      <c r="W57" s="119"/>
      <c r="X57" s="117"/>
      <c r="Y57" s="117"/>
      <c r="Z57" s="117"/>
      <c r="AA57" s="117"/>
    </row>
    <row r="58" spans="1:38" ht="15" outlineLevel="2" collapsed="1" x14ac:dyDescent="0.15">
      <c r="A58" s="205" t="s">
        <v>274</v>
      </c>
      <c r="B58" s="122"/>
      <c r="C58" s="198"/>
      <c r="D58" s="198"/>
      <c r="E58" s="198"/>
      <c r="F58" s="198"/>
      <c r="G58" s="198"/>
      <c r="H58" s="198"/>
      <c r="I58" s="198">
        <f>I53-I55</f>
        <v>3019.8495999999996</v>
      </c>
      <c r="J58" s="198">
        <f t="shared" ref="J58:L58" si="36">J53-J55</f>
        <v>4573.0841</v>
      </c>
      <c r="K58" s="198">
        <f t="shared" si="36"/>
        <v>2936.7740000000003</v>
      </c>
      <c r="L58" s="198">
        <f t="shared" si="36"/>
        <v>2762.4138999999996</v>
      </c>
      <c r="M58" s="229">
        <f>(M15+M19+M17)*M60</f>
        <v>2895.3788</v>
      </c>
      <c r="N58" s="229">
        <f t="shared" ref="N58:Q58" si="37">(N15+N19+N17)*N60</f>
        <v>3103.4778120000001</v>
      </c>
      <c r="O58" s="229">
        <f t="shared" si="37"/>
        <v>3133.9823137199996</v>
      </c>
      <c r="P58" s="229">
        <f t="shared" si="37"/>
        <v>3156.8234368571998</v>
      </c>
      <c r="Q58" s="229">
        <f t="shared" si="37"/>
        <v>3179.8929712257714</v>
      </c>
      <c r="R58" s="117"/>
      <c r="S58" s="117"/>
      <c r="T58" s="117"/>
      <c r="U58" s="118"/>
      <c r="V58" s="119"/>
      <c r="W58" s="119"/>
      <c r="X58" s="117"/>
      <c r="Y58" s="117"/>
      <c r="Z58" s="117"/>
      <c r="AA58" s="117"/>
      <c r="AB58" s="117"/>
      <c r="AC58" s="120"/>
    </row>
    <row r="59" spans="1:38" ht="15" outlineLevel="2" x14ac:dyDescent="0.15">
      <c r="A59" s="206" t="s">
        <v>272</v>
      </c>
      <c r="B59" s="122"/>
      <c r="C59" s="198"/>
      <c r="D59" s="198"/>
      <c r="E59" s="198"/>
      <c r="F59" s="198"/>
      <c r="G59" s="198"/>
      <c r="H59" s="198"/>
      <c r="I59" s="198"/>
      <c r="J59" s="207">
        <f>(J58-I58)/I58</f>
        <v>0.51434167449928658</v>
      </c>
      <c r="K59" s="207">
        <f t="shared" ref="K59:M59" si="38">(K58-J58)/J58</f>
        <v>-0.35781325342343906</v>
      </c>
      <c r="L59" s="207">
        <f t="shared" si="38"/>
        <v>-5.9371303341694243E-2</v>
      </c>
      <c r="M59" s="224">
        <f t="shared" si="38"/>
        <v>4.813359069761429E-2</v>
      </c>
      <c r="N59" s="224">
        <f>(N58-M58)/M58</f>
        <v>7.1872810562818287E-2</v>
      </c>
      <c r="O59" s="224">
        <f t="shared" ref="O59:Q59" si="39">(O58-N58)/N58</f>
        <v>9.8291347861582685E-3</v>
      </c>
      <c r="P59" s="224">
        <f t="shared" si="39"/>
        <v>7.2882106057860982E-3</v>
      </c>
      <c r="Q59" s="224">
        <f t="shared" si="39"/>
        <v>7.3078316953762296E-3</v>
      </c>
      <c r="R59" s="111"/>
      <c r="S59" s="111"/>
      <c r="T59" s="111"/>
      <c r="V59" s="119"/>
      <c r="W59" s="119"/>
      <c r="X59" s="117"/>
      <c r="Y59" s="117"/>
      <c r="Z59" s="117"/>
      <c r="AA59" s="117"/>
    </row>
    <row r="60" spans="1:38" ht="15" outlineLevel="2" x14ac:dyDescent="0.15">
      <c r="A60" s="206" t="s">
        <v>273</v>
      </c>
      <c r="B60" s="122"/>
      <c r="C60" s="198"/>
      <c r="D60" s="198"/>
      <c r="E60" s="198"/>
      <c r="F60" s="198"/>
      <c r="G60" s="198"/>
      <c r="H60" s="198"/>
      <c r="I60" s="207">
        <f>I58/(I15+I17+I19)</f>
        <v>0.90171681098835454</v>
      </c>
      <c r="J60" s="207">
        <f>J58/(J15+J17+J19)</f>
        <v>1.361361068111455</v>
      </c>
      <c r="K60" s="207">
        <f>K58/(K15+K17+K19)</f>
        <v>0.86299559212459609</v>
      </c>
      <c r="L60" s="207">
        <f>L58/(L15+L17+L19)</f>
        <v>0.82090098362604358</v>
      </c>
      <c r="M60" s="299">
        <v>0.85</v>
      </c>
      <c r="N60" s="299">
        <v>0.9</v>
      </c>
      <c r="O60" s="299">
        <f t="shared" ref="O60:Q60" si="40">N60</f>
        <v>0.9</v>
      </c>
      <c r="P60" s="299">
        <f t="shared" si="40"/>
        <v>0.9</v>
      </c>
      <c r="Q60" s="299">
        <f t="shared" si="40"/>
        <v>0.9</v>
      </c>
      <c r="R60" s="111"/>
      <c r="S60" s="111"/>
      <c r="T60" s="111"/>
      <c r="V60" s="147"/>
      <c r="W60" s="147"/>
      <c r="X60" s="145"/>
      <c r="Y60" s="145"/>
      <c r="Z60" s="145"/>
      <c r="AA60" s="145"/>
    </row>
    <row r="61" spans="1:38" outlineLevel="2" collapsed="1" x14ac:dyDescent="0.15">
      <c r="A61" s="202"/>
      <c r="B61" s="122"/>
      <c r="C61" s="198"/>
      <c r="D61" s="198"/>
      <c r="E61" s="198"/>
      <c r="F61" s="198"/>
      <c r="G61" s="198"/>
      <c r="H61" s="198"/>
      <c r="I61" s="198"/>
      <c r="J61" s="198"/>
      <c r="K61" s="198"/>
      <c r="L61" s="198"/>
      <c r="M61" s="126"/>
      <c r="N61" s="126"/>
      <c r="O61" s="126"/>
      <c r="P61" s="117"/>
      <c r="Q61" s="117"/>
      <c r="R61" s="117"/>
      <c r="S61" s="117"/>
      <c r="T61" s="117"/>
      <c r="U61" s="118"/>
      <c r="V61" s="119"/>
      <c r="W61" s="119"/>
      <c r="X61" s="117"/>
      <c r="Y61" s="117"/>
      <c r="Z61" s="117"/>
      <c r="AA61" s="117"/>
      <c r="AB61" s="117"/>
      <c r="AC61" s="120"/>
    </row>
    <row r="62" spans="1:38" ht="15" outlineLevel="2" x14ac:dyDescent="0.15">
      <c r="A62" s="202" t="s">
        <v>266</v>
      </c>
      <c r="B62" s="200" t="e">
        <f>B53/B$22</f>
        <v>#DIV/0!</v>
      </c>
      <c r="C62" s="204">
        <v>1699.9</v>
      </c>
      <c r="D62" s="204">
        <v>1756.1999999999998</v>
      </c>
      <c r="E62" s="204">
        <v>1831.4</v>
      </c>
      <c r="F62" s="204">
        <v>1858.8000000000002</v>
      </c>
      <c r="G62" s="204">
        <v>1905.1999999999998</v>
      </c>
      <c r="H62" s="204">
        <v>1994.3000000000002</v>
      </c>
      <c r="I62" s="204">
        <v>2021</v>
      </c>
      <c r="J62" s="204">
        <v>2010.5</v>
      </c>
      <c r="K62" s="204">
        <v>2013.3</v>
      </c>
      <c r="L62" s="204">
        <v>2175.9</v>
      </c>
      <c r="M62" s="265">
        <f>M63*M11</f>
        <v>2299.08644</v>
      </c>
      <c r="N62" s="265">
        <f>N63*N11</f>
        <v>2339.6309964000006</v>
      </c>
      <c r="O62" s="265">
        <f>O63*O11</f>
        <v>2347.4265912840001</v>
      </c>
      <c r="P62" s="265">
        <f t="shared" ref="P62:Q62" si="41">P63*P11</f>
        <v>2471.7171831619198</v>
      </c>
      <c r="Q62" s="265">
        <f t="shared" si="41"/>
        <v>2477.8690589935391</v>
      </c>
      <c r="R62" s="117"/>
      <c r="S62" s="117"/>
      <c r="T62" s="117"/>
      <c r="U62" s="118"/>
      <c r="V62" s="119"/>
      <c r="W62" s="119"/>
      <c r="X62" s="117"/>
      <c r="Y62" s="117"/>
      <c r="Z62" s="117"/>
      <c r="AA62" s="117"/>
      <c r="AB62" s="117"/>
      <c r="AC62" s="120"/>
    </row>
    <row r="63" spans="1:38" ht="30" outlineLevel="2" x14ac:dyDescent="0.15">
      <c r="A63" s="206" t="s">
        <v>294</v>
      </c>
      <c r="B63" s="122"/>
      <c r="C63" s="207">
        <f t="shared" ref="C63:L63" si="42">C62/C11</f>
        <v>0.22294647658268524</v>
      </c>
      <c r="D63" s="207">
        <f t="shared" si="42"/>
        <v>0.22523469963576667</v>
      </c>
      <c r="E63" s="207">
        <f t="shared" si="42"/>
        <v>0.22659111155102446</v>
      </c>
      <c r="F63" s="207">
        <f t="shared" si="42"/>
        <v>0.2224056857747945</v>
      </c>
      <c r="G63" s="207">
        <f t="shared" si="42"/>
        <v>0.22160961254376474</v>
      </c>
      <c r="H63" s="207">
        <f t="shared" si="42"/>
        <v>0.22193164999276663</v>
      </c>
      <c r="I63" s="207">
        <f t="shared" si="42"/>
        <v>0.21578969847100024</v>
      </c>
      <c r="J63" s="207">
        <f t="shared" si="42"/>
        <v>0.21438244420511618</v>
      </c>
      <c r="K63" s="207">
        <f t="shared" si="42"/>
        <v>0.21235101782512392</v>
      </c>
      <c r="L63" s="207">
        <f t="shared" si="42"/>
        <v>0.22610511877299086</v>
      </c>
      <c r="M63" s="430">
        <v>0.23</v>
      </c>
      <c r="N63" s="431">
        <v>0.23</v>
      </c>
      <c r="O63" s="431">
        <v>0.23</v>
      </c>
      <c r="P63" s="431">
        <v>0.24</v>
      </c>
      <c r="Q63" s="431">
        <v>0.24</v>
      </c>
      <c r="R63" s="111"/>
      <c r="S63" s="111"/>
      <c r="T63" s="111"/>
      <c r="V63" s="119"/>
      <c r="W63" s="119"/>
      <c r="X63" s="117"/>
      <c r="Y63" s="117"/>
      <c r="Z63" s="117"/>
      <c r="AA63" s="117"/>
    </row>
    <row r="64" spans="1:38" s="128" customFormat="1" ht="15.75" customHeight="1" outlineLevel="2" x14ac:dyDescent="0.15">
      <c r="A64" s="256" t="s">
        <v>295</v>
      </c>
      <c r="B64" s="257"/>
      <c r="C64" s="297"/>
      <c r="D64" s="297">
        <f>D63/C63-1</f>
        <v>1.0263553334213693E-2</v>
      </c>
      <c r="E64" s="297">
        <f t="shared" ref="E64:Q64" si="43">E63/D63-1</f>
        <v>6.0222155709190872E-3</v>
      </c>
      <c r="F64" s="297">
        <f t="shared" si="43"/>
        <v>-1.8471270773070314E-2</v>
      </c>
      <c r="G64" s="297">
        <f t="shared" si="43"/>
        <v>-3.5793744582405251E-3</v>
      </c>
      <c r="H64" s="297">
        <f t="shared" si="43"/>
        <v>1.4531745500809823E-3</v>
      </c>
      <c r="I64" s="297">
        <f t="shared" si="43"/>
        <v>-2.767496894636956E-2</v>
      </c>
      <c r="J64" s="297">
        <f t="shared" si="43"/>
        <v>-6.5214154144304093E-3</v>
      </c>
      <c r="K64" s="297">
        <f t="shared" si="43"/>
        <v>-9.475712377122858E-3</v>
      </c>
      <c r="L64" s="297">
        <f t="shared" si="43"/>
        <v>6.4770591112465414E-2</v>
      </c>
      <c r="M64" s="432">
        <f t="shared" si="43"/>
        <v>1.7225975458430964E-2</v>
      </c>
      <c r="N64" s="432">
        <f t="shared" si="43"/>
        <v>0</v>
      </c>
      <c r="O64" s="432">
        <f t="shared" si="43"/>
        <v>0</v>
      </c>
      <c r="P64" s="432">
        <f t="shared" si="43"/>
        <v>4.3478260869565188E-2</v>
      </c>
      <c r="Q64" s="432">
        <f t="shared" si="43"/>
        <v>0</v>
      </c>
      <c r="R64" s="258"/>
      <c r="S64" s="258"/>
      <c r="T64" s="258"/>
      <c r="U64" s="259"/>
      <c r="V64" s="260"/>
      <c r="W64" s="260"/>
      <c r="X64" s="258"/>
      <c r="Y64" s="258"/>
      <c r="Z64" s="258"/>
      <c r="AA64" s="258"/>
      <c r="AB64" s="258"/>
      <c r="AC64" s="258"/>
      <c r="AD64" s="258"/>
      <c r="AE64" s="258"/>
      <c r="AF64" s="258"/>
      <c r="AG64" s="258"/>
      <c r="AH64" s="258"/>
      <c r="AI64" s="258"/>
      <c r="AJ64" s="258"/>
      <c r="AK64" s="258"/>
      <c r="AL64" s="258"/>
    </row>
    <row r="65" spans="1:38" ht="30" outlineLevel="2" x14ac:dyDescent="0.15">
      <c r="A65" s="206" t="s">
        <v>296</v>
      </c>
      <c r="B65" s="122"/>
      <c r="C65" s="207">
        <f t="shared" ref="C65:L65" si="44">C62/C37</f>
        <v>0.1639469166521999</v>
      </c>
      <c r="D65" s="207">
        <f t="shared" si="44"/>
        <v>0.16686778469285951</v>
      </c>
      <c r="E65" s="207">
        <f t="shared" si="44"/>
        <v>0.17065965912797146</v>
      </c>
      <c r="F65" s="207">
        <f t="shared" si="44"/>
        <v>0.16827049291630836</v>
      </c>
      <c r="G65" s="207">
        <f t="shared" si="44"/>
        <v>0.16879895098699366</v>
      </c>
      <c r="H65" s="207">
        <f t="shared" si="44"/>
        <v>0.17194464801482953</v>
      </c>
      <c r="I65" s="207">
        <f t="shared" si="44"/>
        <v>0.16843210627640864</v>
      </c>
      <c r="J65" s="207">
        <f t="shared" si="44"/>
        <v>0.15274918136163682</v>
      </c>
      <c r="K65" s="207">
        <f t="shared" si="44"/>
        <v>0.16758228037756581</v>
      </c>
      <c r="L65" s="207">
        <f t="shared" si="44"/>
        <v>0.1814610958218664</v>
      </c>
      <c r="M65" s="224">
        <f>M62/M49</f>
        <v>0.18530836846440743</v>
      </c>
      <c r="N65" s="224">
        <f>N62/N37</f>
        <v>0.18479126342166799</v>
      </c>
      <c r="O65" s="224">
        <f>O62/O37</f>
        <v>0.18398045541353578</v>
      </c>
      <c r="P65" s="224">
        <f t="shared" ref="P65:Q65" si="45">P62/P37</f>
        <v>0.19147199285544239</v>
      </c>
      <c r="Q65" s="224">
        <f t="shared" si="45"/>
        <v>0.19091189250167842</v>
      </c>
      <c r="R65" s="111"/>
      <c r="S65" s="111"/>
      <c r="T65" s="111"/>
      <c r="V65" s="119"/>
      <c r="W65" s="119"/>
      <c r="X65" s="117"/>
      <c r="Y65" s="117"/>
      <c r="Z65" s="117"/>
      <c r="AA65" s="117"/>
    </row>
    <row r="66" spans="1:38" s="128" customFormat="1" ht="15.75" customHeight="1" outlineLevel="2" x14ac:dyDescent="0.15">
      <c r="A66" s="256" t="s">
        <v>295</v>
      </c>
      <c r="B66" s="257"/>
      <c r="C66" s="297"/>
      <c r="D66" s="297">
        <f>D65/C65-1</f>
        <v>1.7815937623615108E-2</v>
      </c>
      <c r="E66" s="297">
        <f t="shared" ref="E66:Q66" si="46">E65/D65-1</f>
        <v>2.2723825584976431E-2</v>
      </c>
      <c r="F66" s="297">
        <f t="shared" si="46"/>
        <v>-1.3999595592017133E-2</v>
      </c>
      <c r="G66" s="297">
        <f t="shared" si="46"/>
        <v>3.1405272637321513E-3</v>
      </c>
      <c r="H66" s="297">
        <f t="shared" si="46"/>
        <v>1.8635761712039622E-2</v>
      </c>
      <c r="I66" s="297">
        <f t="shared" si="46"/>
        <v>-2.0428328412512964E-2</v>
      </c>
      <c r="J66" s="297">
        <f t="shared" si="46"/>
        <v>-9.3111255695129014E-2</v>
      </c>
      <c r="K66" s="297">
        <f t="shared" si="46"/>
        <v>9.7107551632707789E-2</v>
      </c>
      <c r="L66" s="297">
        <f t="shared" si="46"/>
        <v>8.2817917342044689E-2</v>
      </c>
      <c r="M66" s="432">
        <f t="shared" si="46"/>
        <v>2.1201638980058668E-2</v>
      </c>
      <c r="N66" s="432">
        <f t="shared" si="46"/>
        <v>-2.790511011588559E-3</v>
      </c>
      <c r="O66" s="432">
        <f t="shared" si="46"/>
        <v>-4.3876966536132711E-3</v>
      </c>
      <c r="P66" s="432">
        <f t="shared" si="46"/>
        <v>4.071920261892914E-2</v>
      </c>
      <c r="Q66" s="432">
        <f t="shared" si="46"/>
        <v>-2.9252338444444304E-3</v>
      </c>
      <c r="R66" s="258"/>
      <c r="S66" s="258"/>
      <c r="T66" s="258"/>
      <c r="U66" s="259"/>
      <c r="V66" s="260"/>
      <c r="W66" s="260"/>
      <c r="X66" s="258"/>
      <c r="Y66" s="258"/>
      <c r="Z66" s="258"/>
      <c r="AA66" s="258"/>
      <c r="AB66" s="258"/>
      <c r="AC66" s="258"/>
      <c r="AD66" s="258"/>
      <c r="AE66" s="258"/>
      <c r="AF66" s="258"/>
      <c r="AG66" s="258"/>
      <c r="AH66" s="258"/>
      <c r="AI66" s="258"/>
      <c r="AJ66" s="258"/>
      <c r="AK66" s="258"/>
      <c r="AL66" s="258"/>
    </row>
    <row r="67" spans="1:38" outlineLevel="2" x14ac:dyDescent="0.15">
      <c r="A67" s="202"/>
      <c r="B67" s="200"/>
      <c r="C67" s="204"/>
      <c r="D67" s="204"/>
      <c r="E67" s="204"/>
      <c r="F67" s="204"/>
      <c r="G67" s="204"/>
      <c r="H67" s="204"/>
      <c r="I67" s="204"/>
      <c r="J67" s="204"/>
      <c r="K67" s="204"/>
      <c r="L67" s="204"/>
      <c r="M67" s="143"/>
      <c r="N67" s="143"/>
      <c r="O67" s="143"/>
      <c r="P67" s="117"/>
      <c r="Q67" s="117"/>
      <c r="R67" s="117"/>
      <c r="S67" s="117"/>
      <c r="T67" s="117"/>
      <c r="U67" s="118"/>
      <c r="V67" s="119"/>
      <c r="W67" s="119"/>
      <c r="X67" s="117"/>
      <c r="Y67" s="117"/>
      <c r="Z67" s="117"/>
      <c r="AA67" s="149"/>
      <c r="AB67" s="117"/>
      <c r="AC67" s="120"/>
    </row>
    <row r="68" spans="1:38" ht="15" outlineLevel="2" x14ac:dyDescent="0.15">
      <c r="A68" s="202" t="s">
        <v>263</v>
      </c>
      <c r="B68" s="200" t="e">
        <f>#REF!/B$22</f>
        <v>#REF!</v>
      </c>
      <c r="C68" s="499">
        <v>-466.8</v>
      </c>
      <c r="D68" s="499">
        <v>-524</v>
      </c>
      <c r="E68" s="499">
        <v>-569.70000000000005</v>
      </c>
      <c r="F68" s="499">
        <v>-592.4</v>
      </c>
      <c r="G68" s="499">
        <v>-628</v>
      </c>
      <c r="H68" s="499">
        <v>-668</v>
      </c>
      <c r="I68" s="499">
        <v>-658.6</v>
      </c>
      <c r="J68" s="499">
        <v>-576.20000000000005</v>
      </c>
      <c r="K68" s="499">
        <v>-508.1</v>
      </c>
      <c r="L68" s="499">
        <v>-556.9</v>
      </c>
      <c r="M68" s="121">
        <f>M69*M11</f>
        <v>-579.76962400000002</v>
      </c>
      <c r="N68" s="121">
        <f t="shared" ref="N68:Q68" si="47">N69*N11</f>
        <v>-589.99390344000017</v>
      </c>
      <c r="O68" s="121">
        <f t="shared" si="47"/>
        <v>-591.95974910640007</v>
      </c>
      <c r="P68" s="121">
        <f t="shared" si="47"/>
        <v>-597.33165259746397</v>
      </c>
      <c r="Q68" s="121">
        <f t="shared" si="47"/>
        <v>-598.81835592343873</v>
      </c>
      <c r="R68" s="111"/>
      <c r="S68" s="111"/>
      <c r="T68" s="111"/>
      <c r="V68" s="119"/>
      <c r="W68" s="119"/>
      <c r="X68" s="117"/>
      <c r="Y68" s="117"/>
      <c r="Z68" s="117"/>
      <c r="AA68" s="149"/>
    </row>
    <row r="69" spans="1:38" ht="15" outlineLevel="2" x14ac:dyDescent="0.15">
      <c r="A69" s="205" t="s">
        <v>526</v>
      </c>
      <c r="B69" s="200"/>
      <c r="C69" s="501">
        <f>C68/C11</f>
        <v>-6.1222080868755496E-2</v>
      </c>
      <c r="D69" s="501">
        <f t="shared" ref="D69:L69" si="48">D68/D11</f>
        <v>-6.7203611552865139E-2</v>
      </c>
      <c r="E69" s="501">
        <f t="shared" si="48"/>
        <v>-7.0486489161635163E-2</v>
      </c>
      <c r="F69" s="501">
        <f t="shared" si="48"/>
        <v>-7.0880744702489909E-2</v>
      </c>
      <c r="G69" s="501">
        <f t="shared" si="48"/>
        <v>-7.3047888241383724E-2</v>
      </c>
      <c r="H69" s="501">
        <f t="shared" si="48"/>
        <v>-7.4337031637751641E-2</v>
      </c>
      <c r="I69" s="501">
        <f t="shared" si="48"/>
        <v>-7.0321175365166133E-2</v>
      </c>
      <c r="J69" s="501">
        <f t="shared" si="48"/>
        <v>-6.1441016837099204E-2</v>
      </c>
      <c r="K69" s="501">
        <f t="shared" si="48"/>
        <v>-5.3591393312941674E-2</v>
      </c>
      <c r="L69" s="501">
        <f t="shared" si="48"/>
        <v>-5.7869360101419458E-2</v>
      </c>
      <c r="M69" s="123">
        <v>-5.8000000000000003E-2</v>
      </c>
      <c r="N69" s="123">
        <v>-5.8000000000000003E-2</v>
      </c>
      <c r="O69" s="123">
        <v>-5.8000000000000003E-2</v>
      </c>
      <c r="P69" s="123">
        <v>-5.8000000000000003E-2</v>
      </c>
      <c r="Q69" s="123">
        <v>-5.8000000000000003E-2</v>
      </c>
      <c r="R69" s="111"/>
      <c r="S69" s="111"/>
      <c r="T69" s="111"/>
      <c r="V69" s="119"/>
      <c r="W69" s="119"/>
      <c r="X69" s="117"/>
      <c r="Y69" s="117"/>
      <c r="Z69" s="117"/>
      <c r="AA69" s="149"/>
    </row>
    <row r="70" spans="1:38" outlineLevel="2" x14ac:dyDescent="0.15">
      <c r="A70" s="205"/>
      <c r="B70" s="200"/>
      <c r="C70" s="500"/>
      <c r="D70" s="500"/>
      <c r="E70" s="500"/>
      <c r="F70" s="500"/>
      <c r="G70" s="500"/>
      <c r="H70" s="500"/>
      <c r="I70" s="500"/>
      <c r="J70" s="500"/>
      <c r="K70" s="500"/>
      <c r="L70" s="500"/>
      <c r="M70" s="144"/>
      <c r="N70" s="144"/>
      <c r="O70" s="144"/>
      <c r="P70" s="111"/>
      <c r="Q70" s="111"/>
      <c r="R70" s="111"/>
      <c r="S70" s="111"/>
      <c r="T70" s="111"/>
      <c r="V70" s="119"/>
      <c r="W70" s="119"/>
      <c r="X70" s="117"/>
      <c r="Y70" s="117"/>
      <c r="Z70" s="117"/>
      <c r="AA70" s="149"/>
    </row>
    <row r="71" spans="1:38" ht="15" outlineLevel="2" collapsed="1" x14ac:dyDescent="0.15">
      <c r="A71" s="202" t="s">
        <v>264</v>
      </c>
      <c r="B71" s="201"/>
      <c r="C71" s="198">
        <v>418.9</v>
      </c>
      <c r="D71" s="198">
        <v>440.8</v>
      </c>
      <c r="E71" s="198">
        <v>482.3</v>
      </c>
      <c r="F71" s="198">
        <v>493</v>
      </c>
      <c r="G71" s="198">
        <v>527.1</v>
      </c>
      <c r="H71" s="198">
        <v>565.5</v>
      </c>
      <c r="I71" s="198">
        <v>609.9</v>
      </c>
      <c r="J71" s="198">
        <v>606.1</v>
      </c>
      <c r="K71" s="198">
        <v>586.1</v>
      </c>
      <c r="L71" s="198">
        <v>591</v>
      </c>
      <c r="M71" s="121">
        <f>M72*M11</f>
        <v>619.753736</v>
      </c>
      <c r="N71" s="121">
        <f t="shared" ref="N71:Q71" si="49">N72*N11</f>
        <v>635.41447165870591</v>
      </c>
      <c r="O71" s="121">
        <f t="shared" si="49"/>
        <v>637.53165757909414</v>
      </c>
      <c r="P71" s="121">
        <f t="shared" si="49"/>
        <v>638.52693898349594</v>
      </c>
      <c r="Q71" s="121">
        <f t="shared" si="49"/>
        <v>640.11617357333091</v>
      </c>
      <c r="R71" s="117"/>
      <c r="S71" s="117"/>
      <c r="T71" s="117"/>
      <c r="U71" s="118"/>
      <c r="V71" s="119"/>
      <c r="W71" s="119"/>
      <c r="X71" s="117"/>
      <c r="Y71" s="117"/>
      <c r="Z71" s="117"/>
      <c r="AA71" s="149"/>
      <c r="AB71" s="117"/>
      <c r="AC71" s="120"/>
    </row>
    <row r="72" spans="1:38" ht="15" outlineLevel="2" x14ac:dyDescent="0.15">
      <c r="A72" s="205" t="s">
        <v>526</v>
      </c>
      <c r="B72" s="201"/>
      <c r="C72" s="292">
        <f>C71/C11</f>
        <v>5.493986648655029E-2</v>
      </c>
      <c r="D72" s="292">
        <f t="shared" ref="D72:L72" si="50">D71/D11</f>
        <v>5.6533114451341508E-2</v>
      </c>
      <c r="E72" s="292">
        <f t="shared" si="50"/>
        <v>5.9672869444719397E-2</v>
      </c>
      <c r="F72" s="292">
        <f t="shared" si="50"/>
        <v>5.898752049008698E-2</v>
      </c>
      <c r="G72" s="292">
        <f t="shared" si="50"/>
        <v>6.1311372439543564E-2</v>
      </c>
      <c r="H72" s="292">
        <f t="shared" si="50"/>
        <v>6.2930526034653517E-2</v>
      </c>
      <c r="I72" s="292">
        <f t="shared" si="50"/>
        <v>6.5121294951738268E-2</v>
      </c>
      <c r="J72" s="292">
        <f t="shared" si="50"/>
        <v>6.4629295912818158E-2</v>
      </c>
      <c r="K72" s="292">
        <f t="shared" si="50"/>
        <v>6.1818373589283833E-2</v>
      </c>
      <c r="L72" s="292">
        <f t="shared" si="50"/>
        <v>6.1412806284681092E-2</v>
      </c>
      <c r="M72" s="123">
        <v>6.2E-2</v>
      </c>
      <c r="N72" s="123">
        <f>AVERAGE(J72:M72)</f>
        <v>6.246511894669577E-2</v>
      </c>
      <c r="O72" s="123">
        <f>N72</f>
        <v>6.246511894669577E-2</v>
      </c>
      <c r="P72" s="123">
        <v>6.2E-2</v>
      </c>
      <c r="Q72" s="123">
        <f t="shared" ref="Q72" si="51">P72</f>
        <v>6.2E-2</v>
      </c>
      <c r="R72" s="117"/>
      <c r="S72" s="117"/>
      <c r="T72" s="117"/>
      <c r="U72" s="118"/>
      <c r="V72" s="119"/>
      <c r="W72" s="119"/>
      <c r="X72" s="117"/>
      <c r="Y72" s="117"/>
      <c r="Z72" s="117"/>
      <c r="AA72" s="149"/>
      <c r="AB72" s="117"/>
      <c r="AC72" s="120"/>
    </row>
    <row r="73" spans="1:38" outlineLevel="2" x14ac:dyDescent="0.15">
      <c r="A73" s="202"/>
      <c r="B73" s="201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26"/>
      <c r="N73" s="126"/>
      <c r="O73" s="126"/>
      <c r="P73" s="117"/>
      <c r="Q73" s="117"/>
      <c r="R73" s="117"/>
      <c r="S73" s="117"/>
      <c r="T73" s="117"/>
      <c r="U73" s="118"/>
      <c r="V73" s="119"/>
      <c r="W73" s="119"/>
      <c r="X73" s="117"/>
      <c r="Y73" s="117"/>
      <c r="Z73" s="117"/>
      <c r="AA73" s="149"/>
      <c r="AB73" s="117"/>
      <c r="AC73" s="120"/>
    </row>
    <row r="74" spans="1:38" ht="15" outlineLevel="1" x14ac:dyDescent="0.15">
      <c r="A74" s="202" t="s">
        <v>265</v>
      </c>
      <c r="B74" s="122" t="e">
        <f>SUM(B53,#REF!,#REF!)</f>
        <v>#REF!</v>
      </c>
      <c r="C74" s="198">
        <v>751.5</v>
      </c>
      <c r="D74" s="198">
        <v>831.2</v>
      </c>
      <c r="E74" s="198">
        <v>813.4</v>
      </c>
      <c r="F74" s="198">
        <v>831.6</v>
      </c>
      <c r="G74" s="198">
        <v>862.9</v>
      </c>
      <c r="H74" s="198">
        <v>891.2</v>
      </c>
      <c r="I74" s="198">
        <v>971</v>
      </c>
      <c r="J74" s="198">
        <v>996.6</v>
      </c>
      <c r="K74" s="198">
        <v>1076</v>
      </c>
      <c r="L74" s="198">
        <v>1024</v>
      </c>
      <c r="M74" s="121">
        <f>M75*M37</f>
        <v>1054.5791807429096</v>
      </c>
      <c r="N74" s="121">
        <f>N75*N37</f>
        <v>1063.5189134951049</v>
      </c>
      <c r="O74" s="121">
        <f>O75*O37</f>
        <v>1071.7651134444841</v>
      </c>
      <c r="P74" s="121">
        <f>P75*P37</f>
        <v>1084.358293290202</v>
      </c>
      <c r="Q74" s="121">
        <f>Q75*Q37</f>
        <v>1090.246386581849</v>
      </c>
      <c r="R74" s="111"/>
      <c r="S74" s="111"/>
      <c r="T74" s="111"/>
      <c r="V74" s="119"/>
      <c r="W74" s="119"/>
      <c r="X74" s="117"/>
      <c r="Y74" s="117"/>
      <c r="Z74" s="117"/>
      <c r="AA74" s="149"/>
    </row>
    <row r="75" spans="1:38" ht="15" outlineLevel="1" x14ac:dyDescent="0.15">
      <c r="A75" s="205" t="s">
        <v>297</v>
      </c>
      <c r="B75" s="122"/>
      <c r="C75" s="292">
        <f t="shared" ref="C75:L75" si="52">C74/C37</f>
        <v>7.2478444534459813E-2</v>
      </c>
      <c r="D75" s="292">
        <f t="shared" si="52"/>
        <v>7.8977623640077918E-2</v>
      </c>
      <c r="E75" s="292">
        <f t="shared" si="52"/>
        <v>7.5796967748548646E-2</v>
      </c>
      <c r="F75" s="292">
        <f t="shared" si="52"/>
        <v>7.5281763454487852E-2</v>
      </c>
      <c r="G75" s="292">
        <f t="shared" si="52"/>
        <v>7.6452138781585577E-2</v>
      </c>
      <c r="H75" s="292">
        <f t="shared" si="52"/>
        <v>7.6837522093374147E-2</v>
      </c>
      <c r="I75" s="292">
        <f t="shared" si="52"/>
        <v>8.0924084707764868E-2</v>
      </c>
      <c r="J75" s="292">
        <f t="shared" si="52"/>
        <v>7.5717400718730288E-2</v>
      </c>
      <c r="K75" s="292">
        <f t="shared" si="52"/>
        <v>8.9563668447951522E-2</v>
      </c>
      <c r="L75" s="292">
        <f t="shared" si="52"/>
        <v>8.5397381369360356E-2</v>
      </c>
      <c r="M75" s="123">
        <v>8.5000000000000006E-2</v>
      </c>
      <c r="N75" s="123">
        <v>8.4000000000000005E-2</v>
      </c>
      <c r="O75" s="123">
        <f t="shared" ref="O75:Q75" si="53">N75</f>
        <v>8.4000000000000005E-2</v>
      </c>
      <c r="P75" s="123">
        <f t="shared" si="53"/>
        <v>8.4000000000000005E-2</v>
      </c>
      <c r="Q75" s="123">
        <f t="shared" si="53"/>
        <v>8.4000000000000005E-2</v>
      </c>
      <c r="R75" s="111"/>
      <c r="S75" s="111"/>
      <c r="T75" s="111"/>
      <c r="V75" s="119"/>
      <c r="W75" s="119"/>
      <c r="X75" s="117"/>
      <c r="Y75" s="117"/>
      <c r="Z75" s="117"/>
      <c r="AA75" s="149"/>
    </row>
    <row r="76" spans="1:38" ht="15" outlineLevel="1" x14ac:dyDescent="0.15">
      <c r="A76" s="205" t="s">
        <v>298</v>
      </c>
      <c r="B76" s="122"/>
      <c r="C76" s="292">
        <f t="shared" ref="C76:Q76" si="54">C74/C11</f>
        <v>9.8561254869044032E-2</v>
      </c>
      <c r="D76" s="292">
        <f t="shared" si="54"/>
        <v>0.10660237008156775</v>
      </c>
      <c r="E76" s="292">
        <f t="shared" si="54"/>
        <v>0.10063842423042661</v>
      </c>
      <c r="F76" s="292">
        <f t="shared" si="54"/>
        <v>9.9501058903765385E-2</v>
      </c>
      <c r="G76" s="292">
        <f t="shared" si="54"/>
        <v>0.10037105535587582</v>
      </c>
      <c r="H76" s="292">
        <f t="shared" si="54"/>
        <v>9.9175393107132123E-2</v>
      </c>
      <c r="I76" s="292">
        <f t="shared" si="54"/>
        <v>0.1036772870931921</v>
      </c>
      <c r="J76" s="292">
        <f t="shared" si="54"/>
        <v>0.1062688604301511</v>
      </c>
      <c r="K76" s="292">
        <f t="shared" si="54"/>
        <v>0.113490138171079</v>
      </c>
      <c r="L76" s="292">
        <f t="shared" si="54"/>
        <v>0.10640729887565725</v>
      </c>
      <c r="M76" s="293">
        <f t="shared" si="54"/>
        <v>0.10549982260382919</v>
      </c>
      <c r="N76" s="293">
        <f t="shared" si="54"/>
        <v>0.10455039725506096</v>
      </c>
      <c r="O76" s="293">
        <f t="shared" si="54"/>
        <v>0.10501115434557509</v>
      </c>
      <c r="P76" s="293">
        <f t="shared" si="54"/>
        <v>0.10528955018095208</v>
      </c>
      <c r="Q76" s="293">
        <f t="shared" si="54"/>
        <v>0.10559845034181284</v>
      </c>
      <c r="R76" s="111"/>
      <c r="S76" s="111"/>
      <c r="T76" s="111"/>
      <c r="V76" s="119"/>
      <c r="W76" s="119"/>
      <c r="X76" s="117"/>
      <c r="Y76" s="117"/>
      <c r="Z76" s="117"/>
      <c r="AA76" s="149"/>
    </row>
    <row r="77" spans="1:38" outlineLevel="1" x14ac:dyDescent="0.15">
      <c r="A77" s="205"/>
      <c r="B77" s="122"/>
      <c r="C77" s="292"/>
      <c r="D77" s="292"/>
      <c r="E77" s="292"/>
      <c r="F77" s="292"/>
      <c r="G77" s="292"/>
      <c r="H77" s="292"/>
      <c r="I77" s="292"/>
      <c r="J77" s="292"/>
      <c r="K77" s="292"/>
      <c r="L77" s="292"/>
      <c r="M77" s="293"/>
      <c r="N77" s="293"/>
      <c r="O77" s="293"/>
      <c r="P77" s="293"/>
      <c r="Q77" s="293"/>
      <c r="R77" s="111"/>
      <c r="S77" s="111"/>
      <c r="T77" s="111"/>
      <c r="V77" s="119"/>
      <c r="W77" s="119"/>
      <c r="X77" s="117"/>
      <c r="Y77" s="117"/>
      <c r="Z77" s="117"/>
      <c r="AA77" s="149"/>
    </row>
    <row r="78" spans="1:38" ht="15" outlineLevel="1" x14ac:dyDescent="0.15">
      <c r="A78" s="202" t="s">
        <v>273</v>
      </c>
      <c r="B78" s="122"/>
      <c r="C78" s="292"/>
      <c r="D78" s="292">
        <f t="shared" ref="D78:Q78" si="55">D53/D11</f>
        <v>0.93761863232955422</v>
      </c>
      <c r="E78" s="292">
        <f t="shared" si="55"/>
        <v>0.83920617638325257</v>
      </c>
      <c r="F78" s="292">
        <f t="shared" si="55"/>
        <v>0.83058736255189825</v>
      </c>
      <c r="G78" s="292">
        <f t="shared" si="55"/>
        <v>0.82070698258715147</v>
      </c>
      <c r="H78" s="292">
        <f t="shared" si="55"/>
        <v>0.89253402477159161</v>
      </c>
      <c r="I78" s="292">
        <f t="shared" si="55"/>
        <v>0.8003971982574527</v>
      </c>
      <c r="J78" s="292">
        <f t="shared" si="55"/>
        <v>0.95679295379661122</v>
      </c>
      <c r="K78" s="292">
        <f t="shared" si="55"/>
        <v>0.80145554266427599</v>
      </c>
      <c r="L78" s="292">
        <f t="shared" si="55"/>
        <v>0.72081592784255044</v>
      </c>
      <c r="M78" s="293">
        <f t="shared" si="55"/>
        <v>0.69309317660974945</v>
      </c>
      <c r="N78" s="293">
        <f t="shared" si="55"/>
        <v>0.7212382206238751</v>
      </c>
      <c r="O78" s="293">
        <f t="shared" si="55"/>
        <v>0.72183187259064319</v>
      </c>
      <c r="P78" s="293">
        <f t="shared" si="55"/>
        <v>0.72166851005335098</v>
      </c>
      <c r="Q78" s="293">
        <f t="shared" si="55"/>
        <v>0.72211125870426829</v>
      </c>
      <c r="R78" s="111"/>
      <c r="S78" s="111"/>
      <c r="T78" s="111"/>
      <c r="V78" s="119"/>
      <c r="W78" s="119"/>
      <c r="X78" s="117"/>
      <c r="Y78" s="117"/>
      <c r="Z78" s="117"/>
      <c r="AA78" s="149"/>
    </row>
    <row r="79" spans="1:38" ht="15" outlineLevel="1" x14ac:dyDescent="0.15">
      <c r="A79" s="202" t="s">
        <v>384</v>
      </c>
      <c r="B79" s="122"/>
      <c r="C79" s="292"/>
      <c r="D79" s="292">
        <f t="shared" ref="D79:Q79" si="56">(D74+D71+D68+D62)/D11</f>
        <v>0.32116657261581077</v>
      </c>
      <c r="E79" s="292">
        <f t="shared" si="56"/>
        <v>0.31641591606453529</v>
      </c>
      <c r="F79" s="292">
        <f t="shared" si="56"/>
        <v>0.31001352046615693</v>
      </c>
      <c r="G79" s="292">
        <f t="shared" si="56"/>
        <v>0.31024415209780037</v>
      </c>
      <c r="H79" s="292">
        <f t="shared" si="56"/>
        <v>0.3097005374968006</v>
      </c>
      <c r="I79" s="292">
        <f t="shared" si="56"/>
        <v>0.3142671051507645</v>
      </c>
      <c r="J79" s="292">
        <f t="shared" si="56"/>
        <v>0.3238395837109862</v>
      </c>
      <c r="K79" s="292">
        <f t="shared" si="56"/>
        <v>0.33406813627254511</v>
      </c>
      <c r="L79" s="292">
        <f t="shared" si="56"/>
        <v>0.33605586383190972</v>
      </c>
      <c r="M79" s="293">
        <f t="shared" si="56"/>
        <v>0.33949982260382922</v>
      </c>
      <c r="N79" s="293">
        <f t="shared" si="56"/>
        <v>0.33901551620175674</v>
      </c>
      <c r="O79" s="293">
        <f t="shared" si="56"/>
        <v>0.33947627329227087</v>
      </c>
      <c r="P79" s="293">
        <f t="shared" si="56"/>
        <v>0.34928955018095209</v>
      </c>
      <c r="Q79" s="293">
        <f t="shared" si="56"/>
        <v>0.34959845034181281</v>
      </c>
      <c r="R79" s="111"/>
      <c r="S79" s="111"/>
      <c r="T79" s="111"/>
      <c r="V79" s="119"/>
      <c r="W79" s="119"/>
      <c r="X79" s="117"/>
      <c r="Y79" s="117"/>
      <c r="Z79" s="117"/>
      <c r="AA79" s="149"/>
    </row>
    <row r="80" spans="1:38" ht="15" outlineLevel="1" x14ac:dyDescent="0.15">
      <c r="A80" s="202" t="s">
        <v>346</v>
      </c>
      <c r="B80" s="122"/>
      <c r="C80" s="292"/>
      <c r="D80" s="292">
        <f>D78+D79</f>
        <v>1.2587852049453649</v>
      </c>
      <c r="E80" s="292">
        <f t="shared" ref="E80:Q80" si="57">E78+E79</f>
        <v>1.1556220924477878</v>
      </c>
      <c r="F80" s="292">
        <f t="shared" si="57"/>
        <v>1.1406008830180552</v>
      </c>
      <c r="G80" s="292">
        <f t="shared" si="57"/>
        <v>1.1309511346849519</v>
      </c>
      <c r="H80" s="292">
        <f t="shared" si="57"/>
        <v>1.2022345622683921</v>
      </c>
      <c r="I80" s="292">
        <f t="shared" si="57"/>
        <v>1.1146643034082171</v>
      </c>
      <c r="J80" s="292">
        <f t="shared" si="57"/>
        <v>1.2806325375075973</v>
      </c>
      <c r="K80" s="292">
        <f t="shared" si="57"/>
        <v>1.135523678936821</v>
      </c>
      <c r="L80" s="292">
        <f t="shared" si="57"/>
        <v>1.0568717916744601</v>
      </c>
      <c r="M80" s="293">
        <f t="shared" si="57"/>
        <v>1.0325929992135787</v>
      </c>
      <c r="N80" s="293">
        <f t="shared" si="57"/>
        <v>1.060253736825632</v>
      </c>
      <c r="O80" s="293">
        <f t="shared" si="57"/>
        <v>1.0613081458829141</v>
      </c>
      <c r="P80" s="293">
        <f t="shared" si="57"/>
        <v>1.070958060234303</v>
      </c>
      <c r="Q80" s="293">
        <f t="shared" si="57"/>
        <v>1.0717097090460812</v>
      </c>
      <c r="R80" s="111"/>
      <c r="S80" s="111"/>
      <c r="T80" s="111"/>
      <c r="V80" s="119"/>
      <c r="W80" s="119"/>
      <c r="X80" s="117"/>
      <c r="Y80" s="117"/>
      <c r="Z80" s="117"/>
      <c r="AA80" s="149"/>
    </row>
    <row r="81" spans="1:38" outlineLevel="1" x14ac:dyDescent="0.15">
      <c r="A81" s="128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26"/>
      <c r="N81" s="126"/>
      <c r="O81" s="126"/>
      <c r="P81" s="117"/>
      <c r="Q81" s="117"/>
      <c r="R81" s="117"/>
      <c r="S81" s="117"/>
      <c r="T81" s="117"/>
      <c r="U81" s="118"/>
      <c r="V81" s="119"/>
      <c r="W81" s="119"/>
      <c r="X81" s="117"/>
      <c r="Y81" s="117"/>
      <c r="Z81" s="117"/>
      <c r="AA81" s="149"/>
      <c r="AB81" s="117"/>
      <c r="AC81" s="120"/>
    </row>
    <row r="82" spans="1:38" outlineLevel="1" x14ac:dyDescent="0.15">
      <c r="M82" s="143"/>
      <c r="N82" s="143"/>
      <c r="O82" s="143"/>
      <c r="P82" s="117"/>
      <c r="Q82" s="117"/>
      <c r="R82" s="117"/>
      <c r="S82" s="117"/>
      <c r="T82" s="117"/>
      <c r="U82" s="118"/>
      <c r="V82" s="119"/>
      <c r="W82" s="119"/>
      <c r="X82" s="117"/>
      <c r="Y82" s="117"/>
      <c r="Z82" s="117"/>
      <c r="AA82" s="149"/>
      <c r="AB82" s="117"/>
      <c r="AC82" s="120"/>
    </row>
    <row r="83" spans="1:38" outlineLevel="1" x14ac:dyDescent="0.15"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44"/>
      <c r="N83" s="144"/>
      <c r="O83" s="144"/>
      <c r="P83" s="117"/>
      <c r="Q83" s="117"/>
      <c r="R83" s="117"/>
      <c r="S83" s="117"/>
      <c r="T83" s="117"/>
      <c r="U83" s="118"/>
      <c r="V83" s="119"/>
      <c r="W83" s="119"/>
      <c r="X83" s="117"/>
      <c r="Y83" s="117"/>
      <c r="Z83" s="117"/>
      <c r="AA83" s="149"/>
      <c r="AB83" s="117"/>
      <c r="AC83" s="120"/>
    </row>
    <row r="84" spans="1:38" outlineLevel="2" x14ac:dyDescent="0.15">
      <c r="A84" s="128"/>
      <c r="B84" s="114"/>
      <c r="C84" s="126"/>
      <c r="D84" s="126"/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17"/>
      <c r="R84" s="117"/>
      <c r="S84" s="117"/>
      <c r="T84" s="117"/>
      <c r="U84" s="118"/>
      <c r="V84" s="119"/>
      <c r="W84" s="119"/>
      <c r="X84" s="117"/>
      <c r="Y84" s="117"/>
      <c r="Z84" s="117"/>
      <c r="AA84" s="149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</row>
    <row r="85" spans="1:38" outlineLevel="2" x14ac:dyDescent="0.15">
      <c r="A85" s="128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27"/>
      <c r="N85" s="127"/>
      <c r="O85" s="127"/>
      <c r="P85" s="117"/>
      <c r="Q85" s="117"/>
      <c r="R85" s="117"/>
      <c r="S85" s="117"/>
      <c r="T85" s="117"/>
      <c r="U85" s="118"/>
      <c r="V85" s="119"/>
      <c r="W85" s="119"/>
      <c r="X85" s="117"/>
      <c r="Y85" s="117"/>
      <c r="Z85" s="117"/>
      <c r="AA85" s="149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</row>
    <row r="86" spans="1:38" outlineLevel="2" x14ac:dyDescent="0.15"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7"/>
      <c r="Q86" s="117"/>
      <c r="R86" s="117"/>
      <c r="S86" s="117"/>
      <c r="T86" s="117"/>
      <c r="U86" s="118"/>
      <c r="V86" s="119"/>
      <c r="W86" s="119"/>
      <c r="X86" s="117"/>
      <c r="Y86" s="117"/>
      <c r="Z86" s="117"/>
      <c r="AA86" s="117"/>
      <c r="AB86" s="117"/>
      <c r="AC86" s="117"/>
      <c r="AD86" s="117"/>
      <c r="AE86" s="117"/>
      <c r="AF86" s="117"/>
      <c r="AG86" s="117"/>
      <c r="AH86" s="117"/>
      <c r="AI86" s="117"/>
      <c r="AJ86" s="117"/>
      <c r="AK86" s="117"/>
      <c r="AL86" s="117"/>
    </row>
    <row r="87" spans="1:38" outlineLevel="2" x14ac:dyDescent="0.15">
      <c r="A87" s="78" t="s">
        <v>81</v>
      </c>
      <c r="B87" s="142" t="e">
        <f>SUM(B74,#REF!,#REF!,#REF!,#REF!)</f>
        <v>#REF!</v>
      </c>
      <c r="C87" s="142">
        <f t="shared" ref="C87:Q87" si="58">C74+C71+C68+C62+C53</f>
        <v>8999.2000000000007</v>
      </c>
      <c r="D87" s="142">
        <f t="shared" si="58"/>
        <v>9815</v>
      </c>
      <c r="E87" s="142">
        <f t="shared" si="58"/>
        <v>9340.2000000000007</v>
      </c>
      <c r="F87" s="142">
        <f t="shared" si="58"/>
        <v>9532.7999999999993</v>
      </c>
      <c r="G87" s="142">
        <f t="shared" si="58"/>
        <v>9722.9</v>
      </c>
      <c r="H87" s="142">
        <f t="shared" si="58"/>
        <v>10803.4</v>
      </c>
      <c r="I87" s="142">
        <f t="shared" si="58"/>
        <v>10439.5</v>
      </c>
      <c r="J87" s="142">
        <f t="shared" si="58"/>
        <v>12009.9</v>
      </c>
      <c r="K87" s="142">
        <f t="shared" si="58"/>
        <v>10765.900000000001</v>
      </c>
      <c r="L87" s="142">
        <f t="shared" si="58"/>
        <v>10170.700000000001</v>
      </c>
      <c r="M87" s="126">
        <f t="shared" si="58"/>
        <v>10321.828532742911</v>
      </c>
      <c r="N87" s="126">
        <f t="shared" si="58"/>
        <v>10785.228290113813</v>
      </c>
      <c r="O87" s="126">
        <f t="shared" si="58"/>
        <v>10831.92592692118</v>
      </c>
      <c r="P87" s="126">
        <f t="shared" si="58"/>
        <v>11029.605999695355</v>
      </c>
      <c r="Q87" s="126">
        <f t="shared" si="58"/>
        <v>11064.818034451053</v>
      </c>
      <c r="R87" s="117"/>
      <c r="S87" s="117"/>
      <c r="T87" s="117"/>
      <c r="U87" s="118"/>
      <c r="V87" s="119"/>
      <c r="W87" s="119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7"/>
      <c r="AL87" s="117"/>
    </row>
    <row r="88" spans="1:38" outlineLevel="2" x14ac:dyDescent="0.15">
      <c r="A88" s="108"/>
      <c r="B88" s="142"/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8"/>
      <c r="N88" s="148"/>
      <c r="O88" s="148"/>
      <c r="P88" s="117"/>
      <c r="Q88" s="117"/>
      <c r="R88" s="117"/>
      <c r="S88" s="117"/>
      <c r="T88" s="117"/>
      <c r="U88" s="118"/>
      <c r="V88" s="119"/>
      <c r="W88" s="119"/>
      <c r="X88" s="117"/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17"/>
      <c r="AJ88" s="117"/>
      <c r="AK88" s="117"/>
      <c r="AL88" s="117"/>
    </row>
    <row r="89" spans="1:38" outlineLevel="2" x14ac:dyDescent="0.15">
      <c r="A89" s="78" t="str">
        <f>"Reconcile "&amp;A92&amp;" with"&amp;" above"</f>
        <v>Reconcile Total Expenses (Historical are Broker Actual) with above</v>
      </c>
      <c r="B89" s="133"/>
      <c r="C89" s="133">
        <f>C92-C87</f>
        <v>42.389999999999418</v>
      </c>
      <c r="D89" s="133">
        <f t="shared" ref="D89:K89" si="59">D92-D87</f>
        <v>-760.19999999999891</v>
      </c>
      <c r="E89" s="133">
        <f>E92-E87</f>
        <v>97.099999999998545</v>
      </c>
      <c r="F89" s="133">
        <f t="shared" si="59"/>
        <v>174.10000000000036</v>
      </c>
      <c r="G89" s="133">
        <f t="shared" si="59"/>
        <v>140.60000000000036</v>
      </c>
      <c r="H89" s="133">
        <f t="shared" si="59"/>
        <v>127.80000000000109</v>
      </c>
      <c r="I89" s="133">
        <f t="shared" si="59"/>
        <v>134.19999999999891</v>
      </c>
      <c r="J89" s="133">
        <f t="shared" si="59"/>
        <v>147.20000000000073</v>
      </c>
      <c r="K89" s="133">
        <f t="shared" si="59"/>
        <v>261.59999999999854</v>
      </c>
      <c r="L89" s="133">
        <f>L92-L87</f>
        <v>373.29999999999927</v>
      </c>
      <c r="M89" s="151"/>
      <c r="N89" s="151"/>
      <c r="O89" s="151"/>
      <c r="P89" s="117"/>
      <c r="Q89" s="117"/>
      <c r="R89" s="117"/>
      <c r="S89" s="117"/>
      <c r="T89" s="117"/>
      <c r="U89" s="118"/>
      <c r="V89" s="119"/>
      <c r="W89" s="119"/>
      <c r="X89" s="117"/>
      <c r="Y89" s="117"/>
      <c r="Z89" s="117"/>
      <c r="AA89" s="117"/>
      <c r="AB89" s="117"/>
      <c r="AC89" s="117"/>
      <c r="AD89" s="117"/>
      <c r="AE89" s="117"/>
      <c r="AF89" s="117"/>
      <c r="AG89" s="117"/>
      <c r="AH89" s="117"/>
      <c r="AI89" s="117"/>
      <c r="AJ89" s="117"/>
      <c r="AK89" s="117"/>
      <c r="AL89" s="117"/>
    </row>
    <row r="90" spans="1:38" outlineLevel="2" x14ac:dyDescent="0.15">
      <c r="A90" s="128" t="s">
        <v>267</v>
      </c>
      <c r="C90" s="138">
        <f>C89/C87</f>
        <v>4.7104187038847249E-3</v>
      </c>
      <c r="D90" s="138">
        <f t="shared" ref="D90:L90" si="60">D89/D87</f>
        <v>-7.7452878247580126E-2</v>
      </c>
      <c r="E90" s="138">
        <f t="shared" si="60"/>
        <v>1.0395922999507349E-2</v>
      </c>
      <c r="F90" s="138">
        <f t="shared" si="60"/>
        <v>1.8263259483048043E-2</v>
      </c>
      <c r="G90" s="138">
        <f t="shared" si="60"/>
        <v>1.4460706167912904E-2</v>
      </c>
      <c r="H90" s="138">
        <f t="shared" si="60"/>
        <v>1.1829609197104716E-2</v>
      </c>
      <c r="I90" s="138">
        <f t="shared" si="60"/>
        <v>1.2855021792231323E-2</v>
      </c>
      <c r="J90" s="138">
        <f t="shared" si="60"/>
        <v>1.2256555008784481E-2</v>
      </c>
      <c r="K90" s="138">
        <f t="shared" si="60"/>
        <v>2.429894388764511E-2</v>
      </c>
      <c r="L90" s="138">
        <f t="shared" si="60"/>
        <v>3.6703471737441797E-2</v>
      </c>
      <c r="M90" s="150"/>
      <c r="N90" s="150"/>
      <c r="O90" s="150"/>
      <c r="P90" s="117"/>
      <c r="Q90" s="117"/>
      <c r="R90" s="117"/>
      <c r="S90" s="117"/>
      <c r="T90" s="117"/>
      <c r="U90" s="118"/>
      <c r="V90" s="119"/>
      <c r="W90" s="119"/>
      <c r="X90" s="117"/>
      <c r="Y90" s="117"/>
      <c r="Z90" s="117"/>
      <c r="AA90" s="117"/>
      <c r="AB90" s="117"/>
      <c r="AC90" s="117"/>
      <c r="AD90" s="117"/>
      <c r="AE90" s="117"/>
      <c r="AF90" s="117"/>
      <c r="AG90" s="117"/>
      <c r="AH90" s="117"/>
      <c r="AI90" s="117"/>
      <c r="AJ90" s="117"/>
      <c r="AK90" s="117"/>
      <c r="AL90" s="117"/>
    </row>
    <row r="91" spans="1:38" outlineLevel="2" x14ac:dyDescent="0.15">
      <c r="A91" s="125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42"/>
      <c r="N91" s="142"/>
      <c r="O91" s="142"/>
      <c r="P91" s="117"/>
      <c r="Q91" s="117"/>
      <c r="R91" s="117"/>
      <c r="S91" s="117"/>
      <c r="T91" s="117"/>
      <c r="U91" s="118"/>
      <c r="V91" s="119"/>
      <c r="W91" s="119"/>
      <c r="X91" s="117"/>
      <c r="Y91" s="117"/>
      <c r="Z91" s="117"/>
      <c r="AA91" s="117"/>
      <c r="AB91" s="117"/>
      <c r="AC91" s="117"/>
      <c r="AD91" s="117"/>
      <c r="AE91" s="117"/>
      <c r="AF91" s="117"/>
      <c r="AG91" s="117"/>
      <c r="AH91" s="117"/>
      <c r="AI91" s="117"/>
      <c r="AJ91" s="117"/>
      <c r="AK91" s="117"/>
      <c r="AL91" s="117"/>
    </row>
    <row r="92" spans="1:38" outlineLevel="2" x14ac:dyDescent="0.15">
      <c r="A92" s="108" t="str">
        <f>"Total Expenses (Historical are "&amp;B2&amp;")"</f>
        <v>Total Expenses (Historical are Broker Actual)</v>
      </c>
      <c r="B92" s="140">
        <f t="shared" ref="B92:L92" si="61">B49-B94</f>
        <v>9275.6999999999989</v>
      </c>
      <c r="C92" s="140">
        <f t="shared" si="61"/>
        <v>9041.59</v>
      </c>
      <c r="D92" s="140">
        <f t="shared" si="61"/>
        <v>9054.8000000000011</v>
      </c>
      <c r="E92" s="140">
        <f t="shared" si="61"/>
        <v>9437.2999999999993</v>
      </c>
      <c r="F92" s="140">
        <f t="shared" si="61"/>
        <v>9706.9</v>
      </c>
      <c r="G92" s="140">
        <f t="shared" si="61"/>
        <v>9863.5</v>
      </c>
      <c r="H92" s="140">
        <f t="shared" si="61"/>
        <v>10931.2</v>
      </c>
      <c r="I92" s="140">
        <f t="shared" si="61"/>
        <v>10573.699999999999</v>
      </c>
      <c r="J92" s="140">
        <f t="shared" si="61"/>
        <v>12157.1</v>
      </c>
      <c r="K92" s="140">
        <f t="shared" si="61"/>
        <v>11027.5</v>
      </c>
      <c r="L92" s="140">
        <f t="shared" si="61"/>
        <v>10544</v>
      </c>
      <c r="M92" s="134">
        <f>M87+M89</f>
        <v>10321.828532742911</v>
      </c>
      <c r="N92" s="134">
        <f t="shared" ref="N92:Q92" si="62">N87+N89</f>
        <v>10785.228290113813</v>
      </c>
      <c r="O92" s="134">
        <f t="shared" si="62"/>
        <v>10831.92592692118</v>
      </c>
      <c r="P92" s="134">
        <f>P87+P89</f>
        <v>11029.605999695355</v>
      </c>
      <c r="Q92" s="134">
        <f t="shared" si="62"/>
        <v>11064.818034451053</v>
      </c>
      <c r="R92" s="117"/>
      <c r="S92" s="117"/>
      <c r="T92" s="117"/>
      <c r="U92" s="118"/>
      <c r="V92" s="119"/>
      <c r="W92" s="119"/>
      <c r="X92" s="117"/>
      <c r="Y92" s="117"/>
      <c r="Z92" s="117"/>
      <c r="AA92" s="117"/>
      <c r="AB92" s="117"/>
      <c r="AC92" s="117"/>
      <c r="AD92" s="117"/>
      <c r="AE92" s="117"/>
      <c r="AF92" s="117"/>
      <c r="AG92" s="117"/>
      <c r="AH92" s="117"/>
      <c r="AI92" s="117"/>
      <c r="AJ92" s="117"/>
      <c r="AK92" s="117"/>
      <c r="AL92" s="117"/>
    </row>
    <row r="93" spans="1:38" outlineLevel="2" x14ac:dyDescent="0.15"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50"/>
      <c r="N93" s="150"/>
      <c r="O93" s="150"/>
      <c r="P93" s="117"/>
      <c r="Q93" s="117"/>
      <c r="R93" s="117"/>
      <c r="S93" s="117"/>
      <c r="T93" s="117"/>
      <c r="U93" s="118"/>
      <c r="V93" s="119"/>
      <c r="W93" s="119"/>
      <c r="X93" s="117"/>
      <c r="Y93" s="117"/>
      <c r="Z93" s="117"/>
      <c r="AA93" s="117"/>
      <c r="AB93" s="117"/>
      <c r="AC93" s="117"/>
      <c r="AD93" s="117"/>
      <c r="AE93" s="117"/>
      <c r="AF93" s="117"/>
      <c r="AG93" s="117"/>
      <c r="AH93" s="117"/>
      <c r="AI93" s="117"/>
      <c r="AJ93" s="117"/>
      <c r="AK93" s="117"/>
      <c r="AL93" s="117"/>
    </row>
    <row r="94" spans="1:38" outlineLevel="2" x14ac:dyDescent="0.15">
      <c r="A94" s="108" t="s">
        <v>82</v>
      </c>
      <c r="B94" s="140">
        <f>CHOOSE(IF($B$1=2,2,1),'GAAP-IFRS'!E15,IF('Broker Actual'!E15="-",'GAAP-IFRS'!E15,'Broker Actual'!E15))</f>
        <v>1239.7</v>
      </c>
      <c r="C94" s="140">
        <f>CHOOSE(IF($B$1=2,2,1),'GAAP-IFRS'!F15,IF('Broker Actual'!F15="-",'GAAP-IFRS'!F15,'Broker Actual'!F15))</f>
        <v>1312.21</v>
      </c>
      <c r="D94" s="140">
        <f>CHOOSE(IF($B$1=2,2,1),'GAAP-IFRS'!G15,IF('Broker Actual'!G15="-",'GAAP-IFRS'!G15,'Broker Actual'!G15))</f>
        <v>1454.9</v>
      </c>
      <c r="E94" s="140">
        <f>CHOOSE(IF($B$1=2,2,1),'GAAP-IFRS'!H15,IF('Broker Actual'!H15="-",'GAAP-IFRS'!H15,'Broker Actual'!H15))</f>
        <v>1294</v>
      </c>
      <c r="F94" s="140">
        <f>CHOOSE(IF($B$1=2,2,1),'GAAP-IFRS'!I15,IF('Broker Actual'!I15="-",'GAAP-IFRS'!I15,'Broker Actual'!I15))</f>
        <v>1339.6</v>
      </c>
      <c r="G94" s="140">
        <f>CHOOSE(IF($B$1=2,2,1),'GAAP-IFRS'!J15,IF('Broker Actual'!J15="-",'GAAP-IFRS'!J15,'Broker Actual'!J15))</f>
        <v>1423.3</v>
      </c>
      <c r="H94" s="140">
        <f>CHOOSE(IF($B$1=2,2,1),'GAAP-IFRS'!K15,IF('Broker Actual'!K15="-",'GAAP-IFRS'!K15,'Broker Actual'!K15))</f>
        <v>667.3</v>
      </c>
      <c r="I94" s="140">
        <f>CHOOSE(IF($B$1=2,2,1),'GAAP-IFRS'!L15,IF('Broker Actual'!L15="-",'GAAP-IFRS'!L15,'Broker Actual'!L15))</f>
        <v>1425.2</v>
      </c>
      <c r="J94" s="140">
        <f>CHOOSE(IF($B$1=2,2,1),'GAAP-IFRS'!M15,IF('Broker Actual'!M15="-",'GAAP-IFRS'!M15,'Broker Actual'!M15))</f>
        <v>1005</v>
      </c>
      <c r="K94" s="140">
        <f>CHOOSE(IF($B$1=2,2,1),'GAAP-IFRS'!N15,IF('Broker Actual'!N15="-",'GAAP-IFRS'!N15,'Broker Actual'!N15))</f>
        <v>986.3</v>
      </c>
      <c r="L94" s="140">
        <f>CHOOSE(IF($B$1=2,2,1),'GAAP-IFRS'!O15,IF('Broker Actual'!O15="-",'GAAP-IFRS'!O15,'Broker Actual'!O15))</f>
        <v>1447</v>
      </c>
      <c r="M94" s="142">
        <f>M49-M92</f>
        <v>2084.9853583501426</v>
      </c>
      <c r="N94" s="142">
        <f>N49-N92</f>
        <v>1875.7111562564824</v>
      </c>
      <c r="O94" s="142">
        <f>O49-O92</f>
        <v>1927.1825664655353</v>
      </c>
      <c r="P94" s="142">
        <f>P49-P92</f>
        <v>1879.4213013784774</v>
      </c>
      <c r="Q94" s="142">
        <f>Q49-Q92</f>
        <v>1914.3056153328635</v>
      </c>
      <c r="R94" s="142"/>
      <c r="S94" s="117"/>
      <c r="T94" s="117"/>
      <c r="U94" s="118"/>
      <c r="V94" s="119"/>
      <c r="W94" s="119"/>
      <c r="X94" s="117"/>
      <c r="Y94" s="117"/>
      <c r="Z94" s="117"/>
      <c r="AA94" s="75"/>
      <c r="AB94" s="117"/>
      <c r="AC94" s="117"/>
      <c r="AD94" s="117"/>
      <c r="AE94" s="117"/>
      <c r="AF94" s="117"/>
      <c r="AG94" s="117"/>
      <c r="AH94" s="117"/>
      <c r="AI94" s="117"/>
      <c r="AJ94" s="117"/>
      <c r="AK94" s="117"/>
      <c r="AL94" s="117"/>
    </row>
    <row r="95" spans="1:38" outlineLevel="2" x14ac:dyDescent="0.15">
      <c r="A95" s="128" t="s">
        <v>74</v>
      </c>
      <c r="B95" s="117"/>
      <c r="C95" s="138">
        <f>C94/B94-1</f>
        <v>5.8489957247721103E-2</v>
      </c>
      <c r="D95" s="138">
        <f t="shared" ref="D95:L95" si="63">D94/C94-1</f>
        <v>0.10874021688601676</v>
      </c>
      <c r="E95" s="138">
        <f t="shared" si="63"/>
        <v>-0.11059179325039525</v>
      </c>
      <c r="F95" s="138">
        <f t="shared" si="63"/>
        <v>3.5239567233384728E-2</v>
      </c>
      <c r="G95" s="138">
        <f t="shared" si="63"/>
        <v>6.2481337712750218E-2</v>
      </c>
      <c r="H95" s="138">
        <f t="shared" si="63"/>
        <v>-0.53115998032740808</v>
      </c>
      <c r="I95" s="138">
        <f t="shared" si="63"/>
        <v>1.1357710175333438</v>
      </c>
      <c r="J95" s="138">
        <f t="shared" si="63"/>
        <v>-0.29483581251754143</v>
      </c>
      <c r="K95" s="138">
        <f t="shared" si="63"/>
        <v>-1.8606965174129408E-2</v>
      </c>
      <c r="L95" s="138">
        <f t="shared" si="63"/>
        <v>0.46709925986008316</v>
      </c>
      <c r="M95" s="138">
        <f>M94/L94-1</f>
        <v>0.44090211357991893</v>
      </c>
      <c r="N95" s="138">
        <f t="shared" ref="N95:Q95" si="64">N94/M94-1</f>
        <v>-0.10037202479889828</v>
      </c>
      <c r="O95" s="138">
        <f t="shared" si="64"/>
        <v>2.7441010859997617E-2</v>
      </c>
      <c r="P95" s="138">
        <f t="shared" si="64"/>
        <v>-2.478294787330515E-2</v>
      </c>
      <c r="Q95" s="138">
        <f t="shared" si="64"/>
        <v>1.8561199625012126E-2</v>
      </c>
      <c r="R95" s="117"/>
      <c r="S95" s="117"/>
      <c r="T95" s="117"/>
      <c r="U95" s="118"/>
      <c r="V95" s="119" t="s">
        <v>78</v>
      </c>
      <c r="W95" s="119" t="s">
        <v>83</v>
      </c>
      <c r="X95" s="117" cm="1">
        <f t="array" ref="X95">_xll.FDSC("--",$A$1,""&amp;$V95&amp;"("&amp;$W95&amp;","&amp;D$2&amp;",ANNUAL_ROLL,+1,0,,,'CURRENCY="&amp;$E$1&amp;"')")</f>
        <v>1779.7343000000001</v>
      </c>
      <c r="Y95" s="117" cm="1">
        <f t="array" ref="Y95">_xll.FDSC("--",$A$1,""&amp;$V95&amp;"("&amp;$W95&amp;","&amp;D$2&amp;",ANNUAL_ROLL,+2,0,,,'CURRENCY="&amp;$E$1&amp;"')")</f>
        <v>1892.9899</v>
      </c>
      <c r="Z95" s="117" cm="1">
        <f t="array" ref="Z95">_xll.FDSC("--",$A$1,""&amp;$V95&amp;"("&amp;$W95&amp;","&amp;D$2&amp;",ANNUAL_ROLL,+3,0,,,'CURRENCY="&amp;$E$1&amp;"')")</f>
        <v>1931.6980000000001</v>
      </c>
      <c r="AA95" s="117"/>
      <c r="AB95" s="117"/>
      <c r="AC95" s="117"/>
      <c r="AD95" s="117"/>
      <c r="AE95" s="117"/>
      <c r="AF95" s="117"/>
      <c r="AG95" s="117"/>
      <c r="AH95" s="117"/>
      <c r="AI95" s="117"/>
      <c r="AJ95" s="117"/>
      <c r="AK95" s="117"/>
      <c r="AL95" s="117"/>
    </row>
    <row r="96" spans="1:38" s="108" customFormat="1" outlineLevel="2" x14ac:dyDescent="0.15">
      <c r="A96" s="108" t="s">
        <v>84</v>
      </c>
      <c r="B96" s="152">
        <f t="shared" ref="B96:Q96" si="65">B94/B49</f>
        <v>0.11789375582479032</v>
      </c>
      <c r="C96" s="152">
        <f t="shared" si="65"/>
        <v>0.12673704340435396</v>
      </c>
      <c r="D96" s="152">
        <f t="shared" si="65"/>
        <v>0.138434018097567</v>
      </c>
      <c r="E96" s="152">
        <f t="shared" si="65"/>
        <v>0.12058184935655514</v>
      </c>
      <c r="F96" s="152">
        <f t="shared" si="65"/>
        <v>0.12126918028334766</v>
      </c>
      <c r="G96" s="152">
        <f t="shared" si="65"/>
        <v>0.12610305843994754</v>
      </c>
      <c r="H96" s="152">
        <f t="shared" si="65"/>
        <v>5.7533301720050001E-2</v>
      </c>
      <c r="I96" s="152">
        <f t="shared" si="65"/>
        <v>0.11877755460917251</v>
      </c>
      <c r="J96" s="152">
        <f t="shared" si="65"/>
        <v>7.6355596751278287E-2</v>
      </c>
      <c r="K96" s="152">
        <f t="shared" si="65"/>
        <v>8.20972548236195E-2</v>
      </c>
      <c r="L96" s="152">
        <f t="shared" si="65"/>
        <v>0.12067383871236761</v>
      </c>
      <c r="M96" s="152">
        <f t="shared" si="65"/>
        <v>0.16805163490418515</v>
      </c>
      <c r="N96" s="152">
        <f t="shared" si="65"/>
        <v>0.14814944532368182</v>
      </c>
      <c r="O96" s="152">
        <f t="shared" si="65"/>
        <v>0.15104366950594003</v>
      </c>
      <c r="P96" s="152">
        <f t="shared" si="65"/>
        <v>0.14558969142641279</v>
      </c>
      <c r="Q96" s="152">
        <f t="shared" si="65"/>
        <v>0.14749113013995624</v>
      </c>
      <c r="R96" s="145"/>
      <c r="S96" s="145"/>
      <c r="T96" s="145"/>
      <c r="U96" s="146"/>
      <c r="V96" s="119"/>
      <c r="W96" s="119"/>
      <c r="X96" s="117"/>
      <c r="Y96" s="117"/>
      <c r="Z96" s="117"/>
      <c r="AA96" s="7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5"/>
      <c r="AL96" s="145"/>
    </row>
    <row r="97" spans="1:38" outlineLevel="2" x14ac:dyDescent="0.15">
      <c r="A97" s="128" t="s">
        <v>85</v>
      </c>
      <c r="B97" s="117"/>
      <c r="C97" s="153">
        <f>(C96-B96)*100</f>
        <v>0.8843287579563639</v>
      </c>
      <c r="D97" s="153">
        <f t="shared" ref="D97:Q97" si="66">(D96-C96)*100</f>
        <v>1.1696974693213043</v>
      </c>
      <c r="E97" s="153">
        <f>(E96-D96)*100</f>
        <v>-1.7852168741011865</v>
      </c>
      <c r="F97" s="153">
        <f t="shared" si="66"/>
        <v>6.8733092679251762E-2</v>
      </c>
      <c r="G97" s="153">
        <f t="shared" si="66"/>
        <v>0.48338781565998856</v>
      </c>
      <c r="H97" s="153">
        <f t="shared" si="66"/>
        <v>-6.8569756719897539</v>
      </c>
      <c r="I97" s="153">
        <f t="shared" si="66"/>
        <v>6.124425288912251</v>
      </c>
      <c r="J97" s="153">
        <f t="shared" si="66"/>
        <v>-4.2421957857894226</v>
      </c>
      <c r="K97" s="153">
        <f t="shared" si="66"/>
        <v>0.57416580723412136</v>
      </c>
      <c r="L97" s="153">
        <f t="shared" si="66"/>
        <v>3.8576583888748113</v>
      </c>
      <c r="M97" s="153">
        <f t="shared" si="66"/>
        <v>4.7377796191817536</v>
      </c>
      <c r="N97" s="153">
        <f t="shared" si="66"/>
        <v>-1.9902189580503327</v>
      </c>
      <c r="O97" s="153">
        <f t="shared" si="66"/>
        <v>0.28942241822582093</v>
      </c>
      <c r="P97" s="153">
        <f t="shared" si="66"/>
        <v>-0.54539780795272441</v>
      </c>
      <c r="Q97" s="153">
        <f t="shared" si="66"/>
        <v>0.19014387135434518</v>
      </c>
      <c r="R97" s="117"/>
      <c r="S97" s="117"/>
      <c r="T97" s="117"/>
      <c r="U97" s="118"/>
      <c r="V97" s="147"/>
      <c r="W97" s="147"/>
      <c r="X97" s="145"/>
      <c r="Y97" s="145"/>
      <c r="Z97" s="145"/>
      <c r="AA97" s="117"/>
      <c r="AB97" s="117"/>
      <c r="AC97" s="117"/>
      <c r="AD97" s="117"/>
      <c r="AE97" s="117"/>
      <c r="AF97" s="117"/>
      <c r="AG97" s="117"/>
      <c r="AH97" s="117"/>
      <c r="AI97" s="117"/>
      <c r="AJ97" s="117"/>
      <c r="AK97" s="117"/>
      <c r="AL97" s="117"/>
    </row>
    <row r="98" spans="1:38" outlineLevel="2" x14ac:dyDescent="0.15">
      <c r="A98" s="128"/>
      <c r="B98" s="117"/>
      <c r="C98" s="154"/>
      <c r="D98" s="154"/>
      <c r="E98" s="154"/>
      <c r="F98" s="154"/>
      <c r="G98" s="154"/>
      <c r="H98" s="154"/>
      <c r="I98" s="154"/>
      <c r="J98" s="154"/>
      <c r="K98" s="154"/>
      <c r="L98" s="154"/>
      <c r="M98" s="138"/>
      <c r="N98" s="138"/>
      <c r="O98" s="138"/>
      <c r="P98" s="117"/>
      <c r="Q98" s="117"/>
      <c r="R98" s="117"/>
      <c r="S98" s="117"/>
      <c r="T98" s="117"/>
      <c r="U98" s="118"/>
      <c r="V98" s="119"/>
      <c r="W98" s="119"/>
      <c r="X98" s="117"/>
      <c r="Y98" s="117"/>
      <c r="Z98" s="117"/>
      <c r="AA98" s="117"/>
      <c r="AB98" s="117"/>
      <c r="AC98" s="117"/>
      <c r="AD98" s="117"/>
      <c r="AE98" s="117"/>
      <c r="AF98" s="117"/>
      <c r="AG98" s="117"/>
      <c r="AH98" s="117"/>
      <c r="AI98" s="117"/>
      <c r="AJ98" s="117"/>
      <c r="AK98" s="117"/>
      <c r="AL98" s="117"/>
    </row>
    <row r="99" spans="1:38" outlineLevel="2" x14ac:dyDescent="0.15">
      <c r="A99" s="78" t="s">
        <v>86</v>
      </c>
      <c r="B99" s="117"/>
      <c r="C99" s="138">
        <f t="shared" ref="C99:L99" si="67">C101/(SUM(B196,C196,B197,C197)/2)</f>
        <v>4.9273691882638103E-2</v>
      </c>
      <c r="D99" s="138">
        <f t="shared" si="67"/>
        <v>5.4817063136530689E-2</v>
      </c>
      <c r="E99" s="138">
        <f t="shared" si="67"/>
        <v>5.7542099605876029E-2</v>
      </c>
      <c r="F99" s="138">
        <f t="shared" si="67"/>
        <v>5.4854502827196248E-2</v>
      </c>
      <c r="G99" s="138">
        <f t="shared" si="67"/>
        <v>5.1602472337773875E-2</v>
      </c>
      <c r="H99" s="138">
        <f t="shared" si="67"/>
        <v>5.4284553946121562E-2</v>
      </c>
      <c r="I99" s="138">
        <f t="shared" si="67"/>
        <v>5.3675576209337862E-2</v>
      </c>
      <c r="J99" s="138">
        <f t="shared" si="67"/>
        <v>5.3707438088467847E-2</v>
      </c>
      <c r="K99" s="138">
        <f t="shared" si="67"/>
        <v>5.6906140702941345E-2</v>
      </c>
      <c r="L99" s="138">
        <f t="shared" si="67"/>
        <v>5.8355286578853686E-2</v>
      </c>
      <c r="M99" s="138">
        <v>5.8000000000000003E-2</v>
      </c>
      <c r="N99" s="138">
        <f>M99</f>
        <v>5.8000000000000003E-2</v>
      </c>
      <c r="O99" s="138">
        <f t="shared" ref="O99:Q99" si="68">N99</f>
        <v>5.8000000000000003E-2</v>
      </c>
      <c r="P99" s="138">
        <f t="shared" si="68"/>
        <v>5.8000000000000003E-2</v>
      </c>
      <c r="Q99" s="138">
        <f t="shared" si="68"/>
        <v>5.8000000000000003E-2</v>
      </c>
      <c r="R99" s="117"/>
      <c r="S99" s="117"/>
      <c r="T99" s="117"/>
      <c r="U99" s="118"/>
      <c r="V99" s="119"/>
      <c r="W99" s="119"/>
      <c r="X99" s="117"/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7"/>
      <c r="AL99" s="117"/>
    </row>
    <row r="100" spans="1:38" outlineLevel="2" x14ac:dyDescent="0.15">
      <c r="A100" s="94" t="s">
        <v>87</v>
      </c>
      <c r="B100" s="155"/>
      <c r="C100" s="155"/>
      <c r="D100" s="155"/>
      <c r="E100" s="155"/>
      <c r="F100" s="155"/>
      <c r="G100" s="155"/>
      <c r="H100" s="155"/>
      <c r="I100" s="155"/>
      <c r="J100" s="155"/>
      <c r="K100" s="155"/>
      <c r="L100" s="155"/>
      <c r="M100" s="142"/>
      <c r="N100" s="142"/>
      <c r="O100" s="142"/>
      <c r="P100" s="117"/>
      <c r="Q100" s="117"/>
      <c r="R100" s="117"/>
      <c r="S100" s="117"/>
      <c r="T100" s="117"/>
      <c r="U100" s="118"/>
      <c r="V100" s="119" t="s">
        <v>78</v>
      </c>
      <c r="W100" s="119" t="s">
        <v>89</v>
      </c>
      <c r="X100" s="117" cm="1">
        <f t="array" ref="X100">_xll.FDSC("--",$A$1,""&amp;$V100&amp;"("&amp;$W100&amp;","&amp;D$2&amp;",ANNUAL_ROLL,+1,0,,,'CURRENCY="&amp;$E$1&amp;"')")</f>
        <v>245.3</v>
      </c>
      <c r="Y100" s="117" cm="1">
        <f t="array" ref="Y100">_xll.FDSC("--",$A$1,""&amp;$V100&amp;"("&amp;$W100&amp;","&amp;D$2&amp;",ANNUAL_ROLL,+2,0,,,'CURRENCY="&amp;$E$1&amp;"')")</f>
        <v>200</v>
      </c>
      <c r="Z100" s="117" cm="1">
        <f t="array" ref="Z100">_xll.FDSC("--",$A$1,""&amp;$V100&amp;"("&amp;$W100&amp;","&amp;D$2&amp;",ANNUAL_ROLL,+3,0,,,'CURRENCY="&amp;$E$1&amp;"')")</f>
        <v>269</v>
      </c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</row>
    <row r="101" spans="1:38" s="108" customFormat="1" outlineLevel="2" x14ac:dyDescent="0.15">
      <c r="A101" s="78" t="s">
        <v>88</v>
      </c>
      <c r="B101" s="140">
        <f>CHOOSE(IF($B$1=2,2,1),'GAAP-IFRS'!E16,IF('Broker Actual'!E16="-",'GAAP-IFRS'!E16,'Broker Actual'!E16))</f>
        <v>139.69999999999999</v>
      </c>
      <c r="C101" s="140">
        <f>CHOOSE(IF($B$1=2,2,1),'GAAP-IFRS'!F16,IF('Broker Actual'!F16="-",'GAAP-IFRS'!F16,'Broker Actual'!F16))</f>
        <v>145.35</v>
      </c>
      <c r="D101" s="140">
        <f>CHOOSE(IF($B$1=2,2,1),'GAAP-IFRS'!G16,IF('Broker Actual'!G16="-",'GAAP-IFRS'!G16,'Broker Actual'!G16))</f>
        <v>149.9</v>
      </c>
      <c r="E101" s="140">
        <f>CHOOSE(IF($B$1=2,2,1),'GAAP-IFRS'!H16,IF('Broker Actual'!H16="-",'GAAP-IFRS'!H16,'Broker Actual'!H16))</f>
        <v>160.6</v>
      </c>
      <c r="F101" s="140">
        <f>CHOOSE(IF($B$1=2,2,1),'GAAP-IFRS'!I16,IF('Broker Actual'!I16="-",'GAAP-IFRS'!I16,'Broker Actual'!I16))</f>
        <v>159.1</v>
      </c>
      <c r="G101" s="140">
        <f>CHOOSE(IF($B$1=2,2,1),'GAAP-IFRS'!J16,IF('Broker Actual'!J16="-",'GAAP-IFRS'!J16,'Broker Actual'!J16))</f>
        <v>153.19999999999999</v>
      </c>
      <c r="H101" s="140">
        <f>CHOOSE(IF($B$1=2,2,1),'GAAP-IFRS'!K16,IF('Broker Actual'!K16="-",'GAAP-IFRS'!K16,'Broker Actual'!K16))</f>
        <v>160.4</v>
      </c>
      <c r="I101" s="140">
        <f>CHOOSE(IF($B$1=2,2,1),'GAAP-IFRS'!L16,IF('Broker Actual'!L16="-",'GAAP-IFRS'!L16,'Broker Actual'!L16))</f>
        <v>172.1</v>
      </c>
      <c r="J101" s="140">
        <f>CHOOSE(IF($B$1=2,2,1),'GAAP-IFRS'!M16,IF('Broker Actual'!M16="-",'GAAP-IFRS'!M16,'Broker Actual'!M16))</f>
        <v>185.1</v>
      </c>
      <c r="K101" s="140">
        <f>CHOOSE(IF($B$1=2,2,1),'GAAP-IFRS'!N16,IF('Broker Actual'!N16="-",'GAAP-IFRS'!N16,'Broker Actual'!N16))</f>
        <v>198.5</v>
      </c>
      <c r="L101" s="140">
        <f>CHOOSE(IF($B$1=2,2,1),'GAAP-IFRS'!O16,IF('Broker Actual'!O16="-",'GAAP-IFRS'!O16,'Broker Actual'!O16))</f>
        <v>204.9</v>
      </c>
      <c r="M101" s="433">
        <v>200</v>
      </c>
      <c r="N101" s="433">
        <v>200</v>
      </c>
      <c r="O101" s="433">
        <v>270</v>
      </c>
      <c r="P101" s="433">
        <v>270</v>
      </c>
      <c r="Q101" s="433">
        <f>P101</f>
        <v>270</v>
      </c>
      <c r="R101" s="145"/>
      <c r="S101" s="145"/>
      <c r="T101" s="145"/>
      <c r="U101" s="146"/>
      <c r="V101" s="119"/>
      <c r="W101" s="119"/>
      <c r="X101" s="117"/>
      <c r="Y101" s="117"/>
      <c r="Z101" s="117"/>
      <c r="AA101" s="145"/>
      <c r="AB101" s="145"/>
      <c r="AC101" s="145"/>
      <c r="AD101" s="145"/>
      <c r="AE101" s="145"/>
      <c r="AF101" s="145"/>
      <c r="AG101" s="145"/>
      <c r="AH101" s="145"/>
      <c r="AI101" s="145"/>
      <c r="AJ101" s="145"/>
      <c r="AK101" s="145"/>
      <c r="AL101" s="145"/>
    </row>
    <row r="102" spans="1:38" outlineLevel="2" x14ac:dyDescent="0.15">
      <c r="B102" s="117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42"/>
      <c r="N102" s="142"/>
      <c r="O102" s="142"/>
      <c r="P102" s="117"/>
      <c r="Q102" s="117"/>
      <c r="R102" s="117"/>
      <c r="S102" s="117"/>
      <c r="T102" s="117"/>
      <c r="U102" s="118"/>
      <c r="V102" s="119"/>
      <c r="W102" s="119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/>
      <c r="AK102" s="117"/>
      <c r="AL102" s="117"/>
    </row>
    <row r="103" spans="1:38" outlineLevel="2" x14ac:dyDescent="0.15">
      <c r="A103" s="156" t="s">
        <v>90</v>
      </c>
      <c r="B103" s="140">
        <f>CHOOSE(IF($B$1=2,2,1),'GAAP-IFRS'!E17,IF('Broker Actual'!E17="-",'GAAP-IFRS'!E17,'Broker Actual'!E17))</f>
        <v>0</v>
      </c>
      <c r="C103" s="140">
        <f>CHOOSE(IF($B$1=2,2,1),'GAAP-IFRS'!F17,IF('Broker Actual'!F17="-",'GAAP-IFRS'!F17,'Broker Actual'!F17))</f>
        <v>0</v>
      </c>
      <c r="D103" s="140">
        <f>CHOOSE(IF($B$1=2,2,1),'GAAP-IFRS'!G17,IF('Broker Actual'!G17="-",'GAAP-IFRS'!G17,'Broker Actual'!G17))</f>
        <v>0</v>
      </c>
      <c r="E103" s="140">
        <f>CHOOSE(IF($B$1=2,2,1),'GAAP-IFRS'!H17,IF('Broker Actual'!H17="-",'GAAP-IFRS'!H17,'Broker Actual'!H17))</f>
        <v>0</v>
      </c>
      <c r="F103" s="140">
        <f>CHOOSE(IF($B$1=2,2,1),'GAAP-IFRS'!I17,IF('Broker Actual'!I17="-",'GAAP-IFRS'!I17,'Broker Actual'!I17))</f>
        <v>0</v>
      </c>
      <c r="G103" s="140">
        <f>CHOOSE(IF($B$1=2,2,1),'GAAP-IFRS'!J17,IF('Broker Actual'!J17="-",'GAAP-IFRS'!J17,'Broker Actual'!J17))</f>
        <v>0</v>
      </c>
      <c r="H103" s="140">
        <f>CHOOSE(IF($B$1=2,2,1),'GAAP-IFRS'!K17,IF('Broker Actual'!K17="-",'GAAP-IFRS'!K17,'Broker Actual'!K17))</f>
        <v>0</v>
      </c>
      <c r="I103" s="140">
        <f>CHOOSE(IF($B$1=2,2,1),'GAAP-IFRS'!L17,IF('Broker Actual'!L17="-",'GAAP-IFRS'!L17,'Broker Actual'!L17))</f>
        <v>0</v>
      </c>
      <c r="J103" s="140">
        <f>CHOOSE(IF($B$1=2,2,1),'GAAP-IFRS'!M17,IF('Broker Actual'!M17="-",'GAAP-IFRS'!M17,'Broker Actual'!M17))</f>
        <v>0</v>
      </c>
      <c r="K103" s="140">
        <f>CHOOSE(IF($B$1=2,2,1),'GAAP-IFRS'!N17,IF('Broker Actual'!N17="-",'GAAP-IFRS'!N17,'Broker Actual'!N17))</f>
        <v>0</v>
      </c>
      <c r="L103" s="140">
        <f>CHOOSE(IF($B$1=2,2,1),'GAAP-IFRS'!O17,IF('Broker Actual'!O17="-",'GAAP-IFRS'!O17,'Broker Actual'!O17))</f>
        <v>-72.2</v>
      </c>
      <c r="M103" s="151">
        <v>0</v>
      </c>
      <c r="N103" s="151">
        <f t="shared" ref="N103:Q103" si="69">M103</f>
        <v>0</v>
      </c>
      <c r="O103" s="151">
        <f t="shared" si="69"/>
        <v>0</v>
      </c>
      <c r="P103" s="151">
        <f t="shared" si="69"/>
        <v>0</v>
      </c>
      <c r="Q103" s="151">
        <f t="shared" si="69"/>
        <v>0</v>
      </c>
      <c r="R103" s="117"/>
      <c r="S103" s="117"/>
      <c r="T103" s="117"/>
      <c r="U103" s="118"/>
      <c r="V103" s="119"/>
      <c r="W103" s="119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7"/>
      <c r="AK103" s="117"/>
      <c r="AL103" s="117"/>
    </row>
    <row r="104" spans="1:38" outlineLevel="2" x14ac:dyDescent="0.15">
      <c r="A104" s="78" t="s">
        <v>91</v>
      </c>
      <c r="B104" s="140">
        <f>CHOOSE(IF($B$1=2,2,1),'GAAP-IFRS'!E18,IF('Broker Actual'!E18="-",'GAAP-IFRS'!E18,'Broker Actual'!E18))</f>
        <v>0</v>
      </c>
      <c r="C104" s="140">
        <f>CHOOSE(IF($B$1=2,2,1),'GAAP-IFRS'!F18,IF('Broker Actual'!F18="-",'GAAP-IFRS'!F18,'Broker Actual'!F18))</f>
        <v>0</v>
      </c>
      <c r="D104" s="140">
        <v>0</v>
      </c>
      <c r="E104" s="140">
        <v>0</v>
      </c>
      <c r="F104" s="140">
        <v>0</v>
      </c>
      <c r="G104" s="140">
        <v>0</v>
      </c>
      <c r="H104" s="140">
        <v>0</v>
      </c>
      <c r="I104" s="140">
        <f>CHOOSE(IF($B$1=2,2,1),'GAAP-IFRS'!L18,IF('Broker Actual'!L18="-",'GAAP-IFRS'!L18,'Broker Actual'!L18))</f>
        <v>27.3</v>
      </c>
      <c r="J104" s="140">
        <f>CHOOSE(IF($B$1=2,2,1),'GAAP-IFRS'!M18,IF('Broker Actual'!M18="-",'GAAP-IFRS'!M18,'Broker Actual'!M18))</f>
        <v>12.7</v>
      </c>
      <c r="K104" s="140">
        <f>CHOOSE(IF($B$1=2,2,1),'GAAP-IFRS'!N18,IF('Broker Actual'!N18="-",'GAAP-IFRS'!N18,'Broker Actual'!N18))</f>
        <v>93.3</v>
      </c>
      <c r="L104" s="140">
        <f>CHOOSE(IF($B$1=2,2,1),'GAAP-IFRS'!O18,IF('Broker Actual'!O18="-",'GAAP-IFRS'!O18,'Broker Actual'!O18))</f>
        <v>4.2</v>
      </c>
      <c r="M104" s="151">
        <v>0</v>
      </c>
      <c r="N104" s="151">
        <v>0</v>
      </c>
      <c r="O104" s="151">
        <v>0</v>
      </c>
      <c r="P104" s="151">
        <v>0</v>
      </c>
      <c r="Q104" s="151">
        <v>0</v>
      </c>
      <c r="R104" s="117"/>
      <c r="S104" s="117"/>
      <c r="T104" s="117"/>
      <c r="U104" s="118"/>
      <c r="V104" s="119"/>
      <c r="W104" s="119"/>
      <c r="X104" s="117"/>
      <c r="Y104" s="117"/>
      <c r="Z104" s="117"/>
      <c r="AA104" s="111"/>
      <c r="AB104" s="149"/>
      <c r="AC104" s="149"/>
      <c r="AD104" s="149"/>
      <c r="AE104" s="149"/>
      <c r="AF104" s="149"/>
      <c r="AG104" s="149"/>
      <c r="AH104" s="149"/>
      <c r="AI104" s="149"/>
      <c r="AJ104" s="149"/>
      <c r="AK104" s="149"/>
      <c r="AL104" s="149"/>
    </row>
    <row r="105" spans="1:38" outlineLevel="2" x14ac:dyDescent="0.15"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42"/>
      <c r="M105" s="153"/>
      <c r="N105" s="153"/>
      <c r="O105" s="153"/>
      <c r="P105" s="117"/>
      <c r="Q105" s="117"/>
      <c r="R105" s="117"/>
      <c r="S105" s="117"/>
      <c r="T105" s="117"/>
      <c r="U105" s="118"/>
      <c r="V105" s="119"/>
      <c r="W105" s="119"/>
      <c r="X105" s="117"/>
      <c r="Y105" s="117"/>
      <c r="Z105" s="117"/>
      <c r="AA105" s="161"/>
      <c r="AB105" s="149"/>
      <c r="AC105" s="149"/>
      <c r="AD105" s="149"/>
      <c r="AE105" s="149"/>
      <c r="AF105" s="149"/>
      <c r="AG105" s="149"/>
      <c r="AH105" s="149"/>
      <c r="AI105" s="149"/>
      <c r="AJ105" s="149"/>
      <c r="AK105" s="149"/>
      <c r="AL105" s="149"/>
    </row>
    <row r="106" spans="1:38" outlineLevel="2" x14ac:dyDescent="0.15">
      <c r="A106" s="125" t="s">
        <v>92</v>
      </c>
      <c r="B106" s="142">
        <f t="shared" ref="B106:K106" si="70">B108-(B94-B101+B103-B104)</f>
        <v>139.70000000000005</v>
      </c>
      <c r="C106" s="142">
        <f t="shared" si="70"/>
        <v>64.439999999999827</v>
      </c>
      <c r="D106" s="142">
        <f>D108-(D94-D101+D103-D104)</f>
        <v>-723.9</v>
      </c>
      <c r="E106" s="142">
        <f t="shared" si="70"/>
        <v>160.59999999999991</v>
      </c>
      <c r="F106" s="142">
        <f t="shared" si="70"/>
        <v>159.29999999999995</v>
      </c>
      <c r="G106" s="142">
        <f t="shared" si="70"/>
        <v>145.10000000000014</v>
      </c>
      <c r="H106" s="142">
        <f t="shared" si="70"/>
        <v>160.39999999999998</v>
      </c>
      <c r="I106" s="142">
        <f t="shared" si="70"/>
        <v>203.09999999999991</v>
      </c>
      <c r="J106" s="142">
        <f t="shared" si="70"/>
        <v>470.80000000000007</v>
      </c>
      <c r="K106" s="142">
        <f t="shared" si="70"/>
        <v>394.95000000000005</v>
      </c>
      <c r="L106" s="142">
        <f>L108-(L94-L101+L103-L104)</f>
        <v>436.50000000000023</v>
      </c>
      <c r="M106" s="151"/>
      <c r="N106" s="151"/>
      <c r="O106" s="151"/>
      <c r="P106" s="117"/>
      <c r="Q106" s="117"/>
      <c r="R106" s="117"/>
      <c r="S106" s="117"/>
      <c r="T106" s="117"/>
      <c r="U106" s="118"/>
      <c r="V106" s="119"/>
      <c r="W106" s="119"/>
      <c r="X106" s="117"/>
      <c r="Y106" s="117"/>
      <c r="Z106" s="117"/>
      <c r="AA106" s="117"/>
      <c r="AB106" s="149"/>
      <c r="AC106" s="149"/>
      <c r="AD106" s="149"/>
      <c r="AE106" s="149"/>
      <c r="AF106" s="149"/>
      <c r="AG106" s="149"/>
      <c r="AH106" s="149"/>
      <c r="AI106" s="149"/>
      <c r="AJ106" s="149"/>
      <c r="AK106" s="149"/>
      <c r="AL106" s="149"/>
    </row>
    <row r="107" spans="1:38" outlineLevel="2" x14ac:dyDescent="0.15"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42"/>
      <c r="M107" s="129"/>
      <c r="N107" s="129"/>
      <c r="O107" s="129"/>
      <c r="P107" s="117"/>
      <c r="Q107" s="117"/>
      <c r="R107" s="117"/>
      <c r="S107" s="117"/>
      <c r="T107" s="117"/>
      <c r="U107" s="118"/>
      <c r="V107" s="119" t="s">
        <v>78</v>
      </c>
      <c r="W107" s="119" t="s">
        <v>94</v>
      </c>
      <c r="X107" s="117" cm="1">
        <f t="array" ref="X107">_xll.FDSC("--",$A$1,""&amp;$V107&amp;"("&amp;$W107&amp;","&amp;D$2&amp;",ANNUAL_ROLL,+1,0,,,'CURRENCY="&amp;$E$1&amp;"')")</f>
        <v>1933.7</v>
      </c>
      <c r="Y107" s="117" cm="1">
        <f t="array" ref="Y107">_xll.FDSC("--",$A$1,""&amp;$V107&amp;"("&amp;$W107&amp;","&amp;D$2&amp;",ANNUAL_ROLL,+2,0,,,'CURRENCY="&amp;$E$1&amp;"')")</f>
        <v>1891.4824000000001</v>
      </c>
      <c r="Z107" s="117" cm="1">
        <f t="array" ref="Z107">_xll.FDSC("--",$A$1,""&amp;$V107&amp;"("&amp;$W107&amp;","&amp;D$2&amp;",ANNUAL_ROLL,+3,0,,,'CURRENCY="&amp;$E$1&amp;"')")</f>
        <v>1956.1</v>
      </c>
      <c r="AA107" s="117"/>
      <c r="AB107" s="149"/>
      <c r="AC107" s="149"/>
      <c r="AD107" s="149"/>
      <c r="AE107" s="149"/>
      <c r="AF107" s="149"/>
      <c r="AG107" s="149"/>
      <c r="AH107" s="149"/>
      <c r="AI107" s="149"/>
      <c r="AJ107" s="149"/>
      <c r="AK107" s="149"/>
      <c r="AL107" s="149"/>
    </row>
    <row r="108" spans="1:38" outlineLevel="2" x14ac:dyDescent="0.15">
      <c r="A108" s="78" t="s">
        <v>93</v>
      </c>
      <c r="B108" s="140">
        <f>CHOOSE(IF($B$1=2,2,1),'GAAP-IFRS'!E19,IF('Broker Actual'!E19="-",'GAAP-IFRS'!E19,'Broker Actual'!E19))</f>
        <v>1239.7</v>
      </c>
      <c r="C108" s="140">
        <f>CHOOSE(IF($B$1=2,2,1),'GAAP-IFRS'!F19,IF('Broker Actual'!F19="-",'GAAP-IFRS'!F19,'Broker Actual'!F19))</f>
        <v>1231.3</v>
      </c>
      <c r="D108" s="140">
        <f>CHOOSE(IF($B$1=2,2,1),'GAAP-IFRS'!G19,IF('Broker Actual'!G19="-",'GAAP-IFRS'!G19,'Broker Actual'!G19))</f>
        <v>581.1</v>
      </c>
      <c r="E108" s="140">
        <f>CHOOSE(IF($B$1=2,2,1),'GAAP-IFRS'!H19,IF('Broker Actual'!H19="-",'GAAP-IFRS'!H19,'Broker Actual'!H19))</f>
        <v>1294</v>
      </c>
      <c r="F108" s="140">
        <f>CHOOSE(IF($B$1=2,2,1),'GAAP-IFRS'!I19,IF('Broker Actual'!I19="-",'GAAP-IFRS'!I19,'Broker Actual'!I19))</f>
        <v>1339.8</v>
      </c>
      <c r="G108" s="140">
        <f>CHOOSE(IF($B$1=2,2,1),'GAAP-IFRS'!J19,IF('Broker Actual'!J19="-",'GAAP-IFRS'!J19,'Broker Actual'!J19))</f>
        <v>1415.2</v>
      </c>
      <c r="H108" s="140">
        <f>CHOOSE(IF($B$1=2,2,1),'GAAP-IFRS'!K19,IF('Broker Actual'!K19="-",'GAAP-IFRS'!K19,'Broker Actual'!K19))</f>
        <v>667.3</v>
      </c>
      <c r="I108" s="140">
        <f>CHOOSE(IF($B$1=2,2,1),'GAAP-IFRS'!L19,IF('Broker Actual'!L19="-",'GAAP-IFRS'!L19,'Broker Actual'!L19))</f>
        <v>1428.9</v>
      </c>
      <c r="J108" s="140">
        <f>CHOOSE(IF($B$1=2,2,1),'GAAP-IFRS'!M19,IF('Broker Actual'!M19="-",'GAAP-IFRS'!M19,'Broker Actual'!M19))</f>
        <v>1278</v>
      </c>
      <c r="K108" s="140">
        <f>CHOOSE(IF($B$1=2,2,1),'GAAP-IFRS'!N19,IF('Broker Actual'!N19="-",'GAAP-IFRS'!N19,'Broker Actual'!N19))</f>
        <v>1089.45</v>
      </c>
      <c r="L108" s="140">
        <f>CHOOSE(IF($B$1=2,2,1),'GAAP-IFRS'!O19,IF('Broker Actual'!O19="-",'GAAP-IFRS'!O19,'Broker Actual'!O19))</f>
        <v>1602.2</v>
      </c>
      <c r="M108" s="139">
        <f>M94-M101-M103-M104+M106</f>
        <v>1884.9853583501426</v>
      </c>
      <c r="N108" s="139">
        <f>N94-N101-N103-N104+N106</f>
        <v>1675.7111562564824</v>
      </c>
      <c r="O108" s="139">
        <f>O94-O101-O103-O104+O106</f>
        <v>1657.1825664655353</v>
      </c>
      <c r="P108" s="139">
        <f t="shared" ref="P108:Q108" si="71">P94-P101-P103-P104+P106</f>
        <v>1609.4213013784774</v>
      </c>
      <c r="Q108" s="139">
        <f t="shared" si="71"/>
        <v>1644.3056153328635</v>
      </c>
      <c r="R108" s="117"/>
      <c r="S108" s="117"/>
      <c r="T108" s="117"/>
      <c r="U108" s="118"/>
      <c r="V108" s="119"/>
      <c r="W108" s="119"/>
      <c r="X108" s="117"/>
      <c r="Y108" s="117"/>
      <c r="Z108" s="117"/>
      <c r="AA108" s="111"/>
      <c r="AB108" s="149"/>
      <c r="AC108" s="149"/>
      <c r="AD108" s="149"/>
      <c r="AE108" s="149"/>
      <c r="AF108" s="149"/>
      <c r="AG108" s="149"/>
      <c r="AH108" s="149"/>
      <c r="AI108" s="149"/>
      <c r="AJ108" s="149"/>
      <c r="AK108" s="149"/>
      <c r="AL108" s="149"/>
    </row>
    <row r="109" spans="1:38" outlineLevel="2" x14ac:dyDescent="0.15">
      <c r="A109" s="128" t="s">
        <v>74</v>
      </c>
      <c r="B109" s="159"/>
      <c r="C109" s="138">
        <f>C108/B108-1</f>
        <v>-6.7758328627894882E-3</v>
      </c>
      <c r="D109" s="138">
        <f t="shared" ref="D109:Q109" si="72">D108/C108-1</f>
        <v>-0.5280597742223665</v>
      </c>
      <c r="E109" s="138">
        <f t="shared" si="72"/>
        <v>1.2268112200998105</v>
      </c>
      <c r="F109" s="138">
        <f t="shared" si="72"/>
        <v>3.5394126738794496E-2</v>
      </c>
      <c r="G109" s="138">
        <f t="shared" si="72"/>
        <v>5.6277056277056259E-2</v>
      </c>
      <c r="H109" s="138">
        <f t="shared" si="72"/>
        <v>-0.52847654041831549</v>
      </c>
      <c r="I109" s="138">
        <f t="shared" si="72"/>
        <v>1.1413157500374647</v>
      </c>
      <c r="J109" s="138">
        <f t="shared" si="72"/>
        <v>-0.10560571068654212</v>
      </c>
      <c r="K109" s="138">
        <f t="shared" si="72"/>
        <v>-0.1475352112676056</v>
      </c>
      <c r="L109" s="138">
        <f t="shared" si="72"/>
        <v>0.47065032814723029</v>
      </c>
      <c r="M109" s="138">
        <f t="shared" si="72"/>
        <v>0.17649816399334828</v>
      </c>
      <c r="N109" s="138">
        <f t="shared" si="72"/>
        <v>-0.11102165922223939</v>
      </c>
      <c r="O109" s="138">
        <f t="shared" si="72"/>
        <v>-1.105715010714603E-2</v>
      </c>
      <c r="P109" s="138">
        <f t="shared" si="72"/>
        <v>-2.8820762451613136E-2</v>
      </c>
      <c r="Q109" s="138">
        <f t="shared" si="72"/>
        <v>2.1675066637000251E-2</v>
      </c>
      <c r="R109" s="117"/>
      <c r="S109" s="117"/>
      <c r="T109" s="117"/>
      <c r="U109" s="118"/>
      <c r="V109" s="169"/>
      <c r="W109" s="169"/>
      <c r="X109" s="159"/>
      <c r="Y109" s="159"/>
      <c r="Z109" s="159"/>
      <c r="AA109" s="117"/>
      <c r="AB109" s="149"/>
      <c r="AC109" s="149"/>
      <c r="AD109" s="149"/>
      <c r="AE109" s="149"/>
      <c r="AF109" s="149"/>
      <c r="AG109" s="149"/>
      <c r="AH109" s="149"/>
      <c r="AI109" s="149"/>
      <c r="AJ109" s="149"/>
      <c r="AK109" s="149"/>
      <c r="AL109" s="149"/>
    </row>
    <row r="110" spans="1:38" outlineLevel="2" x14ac:dyDescent="0.15">
      <c r="A110" s="128" t="s">
        <v>95</v>
      </c>
      <c r="B110" s="140">
        <f>CHOOSE(IF($B$1=2,2,1),'GAAP-IFRS'!E21,IF('Broker Actual'!E21="-",'GAAP-IFRS'!E21,'Broker Actual'!E21))</f>
        <v>352.2</v>
      </c>
      <c r="C110" s="140">
        <f>CHOOSE(IF($B$1=2,2,1),'GAAP-IFRS'!F21,IF('Broker Actual'!F21="-",'GAAP-IFRS'!F21,'Broker Actual'!F21))</f>
        <v>355.7</v>
      </c>
      <c r="D110" s="140">
        <f>CHOOSE(IF($B$1=2,2,1),'GAAP-IFRS'!G21,IF('Broker Actual'!G21="-",'GAAP-IFRS'!G21,'Broker Actual'!G21))</f>
        <v>136.30000000000001</v>
      </c>
      <c r="E110" s="140">
        <f>CHOOSE(IF($B$1=2,2,1),'GAAP-IFRS'!H21,IF('Broker Actual'!H21="-",'GAAP-IFRS'!H21,'Broker Actual'!H21))</f>
        <v>393</v>
      </c>
      <c r="F110" s="140">
        <f>CHOOSE(IF($B$1=2,2,1),'GAAP-IFRS'!I21,IF('Broker Actual'!I21="-",'GAAP-IFRS'!I21,'Broker Actual'!I21))</f>
        <v>413.6</v>
      </c>
      <c r="G110" s="140">
        <f>CHOOSE(IF($B$1=2,2,1),'GAAP-IFRS'!J21,IF('Broker Actual'!J21="-",'GAAP-IFRS'!J21,'Broker Actual'!J21))</f>
        <v>436.8</v>
      </c>
      <c r="H110" s="140">
        <f>CHOOSE(IF($B$1=2,2,1),'GAAP-IFRS'!K21,IF('Broker Actual'!K21="-",'GAAP-IFRS'!K21,'Broker Actual'!K21))</f>
        <v>115.4</v>
      </c>
      <c r="I110" s="140">
        <f>CHOOSE(IF($B$1=2,2,1),'GAAP-IFRS'!L21,IF('Broker Actual'!L21="-",'GAAP-IFRS'!L21,'Broker Actual'!L21))</f>
        <v>284.55</v>
      </c>
      <c r="J110" s="140">
        <f>CHOOSE(IF($B$1=2,2,1),'GAAP-IFRS'!M21,IF('Broker Actual'!M21="-",'GAAP-IFRS'!M21,'Broker Actual'!M21))</f>
        <v>233.45</v>
      </c>
      <c r="K110" s="140">
        <f>CHOOSE(IF($B$1=2,2,1),'GAAP-IFRS'!N21,IF('Broker Actual'!N21="-",'GAAP-IFRS'!N21,'Broker Actual'!N21))</f>
        <v>225.9</v>
      </c>
      <c r="L110" s="140">
        <f>CHOOSE(IF($B$1=2,2,1),'GAAP-IFRS'!O21,IF('Broker Actual'!O21="-",'GAAP-IFRS'!O21,'Broker Actual'!O21))</f>
        <v>302</v>
      </c>
      <c r="M110" s="139">
        <f>L110*(1+M111)</f>
        <v>358.9242291848708</v>
      </c>
      <c r="N110" s="139">
        <f t="shared" ref="N110:Q110" si="73">M110*(1+N111)</f>
        <v>426.57815329785979</v>
      </c>
      <c r="O110" s="139">
        <f t="shared" si="73"/>
        <v>511.89378395743171</v>
      </c>
      <c r="P110" s="139">
        <f t="shared" si="73"/>
        <v>614.272540748918</v>
      </c>
      <c r="Q110" s="139">
        <f t="shared" si="73"/>
        <v>737.12704889870156</v>
      </c>
      <c r="R110" s="117"/>
      <c r="S110" s="117"/>
      <c r="T110" s="117"/>
      <c r="U110" s="118"/>
      <c r="V110" s="119" t="s">
        <v>78</v>
      </c>
      <c r="W110" s="119" t="s">
        <v>96</v>
      </c>
      <c r="X110" s="117" cm="1">
        <f t="array" ref="X110">_xll.FDSC("--",$A$1,""&amp;$V110&amp;"("&amp;$W110&amp;","&amp;D$2&amp;",ANNUAL_ROLL,+1,0,,,'CURRENCY="&amp;$E$1&amp;"')")</f>
        <v>411.2</v>
      </c>
      <c r="Y110" s="117" cm="1">
        <f t="array" ref="Y110">_xll.FDSC("--",$A$1,""&amp;$V110&amp;"("&amp;$W110&amp;","&amp;D$2&amp;",ANNUAL_ROLL,+2,0,,,'CURRENCY="&amp;$E$1&amp;"')")</f>
        <v>398.55</v>
      </c>
      <c r="Z110" s="117" cm="1">
        <f t="array" ref="Z110">_xll.FDSC("--",$A$1,""&amp;$V110&amp;"("&amp;$W110&amp;","&amp;D$2&amp;",ANNUAL_ROLL,+3,0,,,'CURRENCY="&amp;$E$1&amp;"')")</f>
        <v>415.35</v>
      </c>
      <c r="AA110" s="117"/>
      <c r="AB110" s="149"/>
      <c r="AC110" s="149"/>
      <c r="AD110" s="149"/>
      <c r="AE110" s="149"/>
      <c r="AF110" s="149"/>
      <c r="AG110" s="149"/>
      <c r="AH110" s="149"/>
      <c r="AI110" s="149"/>
      <c r="AJ110" s="149"/>
      <c r="AK110" s="149"/>
      <c r="AL110" s="149"/>
    </row>
    <row r="111" spans="1:38" outlineLevel="2" x14ac:dyDescent="0.15">
      <c r="A111" s="128" t="s">
        <v>97</v>
      </c>
      <c r="B111" s="138">
        <f>B110/B108</f>
        <v>0.28410099217552631</v>
      </c>
      <c r="C111" s="138">
        <f t="shared" ref="C111:K111" si="74">C110/C108</f>
        <v>0.28888166977990742</v>
      </c>
      <c r="D111" s="138">
        <f t="shared" si="74"/>
        <v>0.23455515401824129</v>
      </c>
      <c r="E111" s="138">
        <f t="shared" si="74"/>
        <v>0.30370942812982998</v>
      </c>
      <c r="F111" s="138">
        <f t="shared" si="74"/>
        <v>0.30870279146141216</v>
      </c>
      <c r="G111" s="138">
        <f t="shared" si="74"/>
        <v>0.30864895421141886</v>
      </c>
      <c r="H111" s="138">
        <f t="shared" si="74"/>
        <v>0.17293571107447928</v>
      </c>
      <c r="I111" s="138">
        <f t="shared" si="74"/>
        <v>0.19913919798446356</v>
      </c>
      <c r="J111" s="138">
        <f t="shared" si="74"/>
        <v>0.18266823161189358</v>
      </c>
      <c r="K111" s="138">
        <f t="shared" si="74"/>
        <v>0.20735233374638579</v>
      </c>
      <c r="L111" s="138">
        <f>L110/L108</f>
        <v>0.18849082511546622</v>
      </c>
      <c r="M111" s="129">
        <f>L111</f>
        <v>0.18849082511546622</v>
      </c>
      <c r="N111" s="129">
        <f>M111</f>
        <v>0.18849082511546622</v>
      </c>
      <c r="O111" s="129">
        <v>0.2</v>
      </c>
      <c r="P111" s="129">
        <v>0.2</v>
      </c>
      <c r="Q111" s="129">
        <v>0.2</v>
      </c>
      <c r="R111" s="117"/>
      <c r="S111" s="117"/>
      <c r="T111" s="117"/>
      <c r="U111" s="118"/>
      <c r="V111" s="119"/>
      <c r="W111" s="119"/>
      <c r="X111" s="117"/>
      <c r="Y111" s="117"/>
      <c r="Z111" s="117"/>
      <c r="AA111" s="117"/>
      <c r="AB111" s="149"/>
      <c r="AC111" s="149"/>
      <c r="AD111" s="149"/>
      <c r="AE111" s="149"/>
      <c r="AF111" s="149"/>
      <c r="AG111" s="149"/>
      <c r="AH111" s="149"/>
      <c r="AI111" s="149"/>
      <c r="AJ111" s="149"/>
      <c r="AK111" s="149"/>
      <c r="AL111" s="149"/>
    </row>
    <row r="112" spans="1:38" outlineLevel="2" x14ac:dyDescent="0.15">
      <c r="A112" s="128"/>
      <c r="B112" s="163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P112" s="117"/>
      <c r="Q112" s="117"/>
      <c r="R112" s="117"/>
      <c r="S112" s="117"/>
      <c r="T112" s="117"/>
      <c r="U112" s="118"/>
      <c r="V112" s="119"/>
      <c r="W112" s="119"/>
      <c r="X112" s="117"/>
      <c r="Y112" s="117"/>
      <c r="Z112" s="117"/>
      <c r="AA112" s="117"/>
      <c r="AB112" s="149"/>
      <c r="AC112" s="149"/>
      <c r="AD112" s="149"/>
      <c r="AE112" s="149"/>
      <c r="AF112" s="149"/>
      <c r="AG112" s="149"/>
      <c r="AH112" s="149"/>
      <c r="AI112" s="149"/>
      <c r="AJ112" s="149"/>
      <c r="AK112" s="149"/>
      <c r="AL112" s="149"/>
    </row>
    <row r="113" spans="1:38" outlineLevel="2" x14ac:dyDescent="0.15">
      <c r="A113" s="78" t="s">
        <v>98</v>
      </c>
      <c r="B113" s="142">
        <f t="shared" ref="B113:L113" si="75">B115-(B108-B110)</f>
        <v>6.8999999999999773</v>
      </c>
      <c r="C113" s="142">
        <f t="shared" si="75"/>
        <v>-17.499999999999886</v>
      </c>
      <c r="D113" s="142">
        <f t="shared" si="75"/>
        <v>-31.400000000000034</v>
      </c>
      <c r="E113" s="142">
        <f t="shared" si="75"/>
        <v>-33.899999999999977</v>
      </c>
      <c r="F113" s="142">
        <f t="shared" si="75"/>
        <v>5.2000000000000455</v>
      </c>
      <c r="G113" s="142">
        <f t="shared" si="75"/>
        <v>15.799999999999955</v>
      </c>
      <c r="H113" s="142">
        <f t="shared" si="75"/>
        <v>-28.5</v>
      </c>
      <c r="I113" s="142">
        <f t="shared" si="75"/>
        <v>-44.050000000000182</v>
      </c>
      <c r="J113" s="142">
        <f t="shared" si="75"/>
        <v>-39.149999999999977</v>
      </c>
      <c r="K113" s="142">
        <f t="shared" si="75"/>
        <v>27.149999999999977</v>
      </c>
      <c r="L113" s="142">
        <f t="shared" si="75"/>
        <v>-45.900000000000091</v>
      </c>
      <c r="M113" s="157"/>
      <c r="N113" s="157"/>
      <c r="O113" s="157"/>
      <c r="P113" s="117"/>
      <c r="Q113" s="117"/>
      <c r="R113" s="117"/>
      <c r="S113" s="117"/>
      <c r="T113" s="117"/>
      <c r="U113" s="118"/>
      <c r="V113" s="119"/>
      <c r="W113" s="119"/>
      <c r="X113" s="117"/>
      <c r="Y113" s="117"/>
      <c r="Z113" s="117"/>
      <c r="AA113" s="117"/>
      <c r="AB113" s="149"/>
      <c r="AC113" s="149"/>
      <c r="AD113" s="149"/>
      <c r="AE113" s="149"/>
      <c r="AF113" s="149"/>
      <c r="AG113" s="149"/>
      <c r="AH113" s="149"/>
      <c r="AI113" s="149"/>
      <c r="AJ113" s="149"/>
      <c r="AK113" s="149"/>
      <c r="AL113" s="149"/>
    </row>
    <row r="114" spans="1:38" outlineLevel="2" x14ac:dyDescent="0.15">
      <c r="A114" s="128"/>
      <c r="B114" s="163"/>
      <c r="C114" s="142"/>
      <c r="D114" s="142"/>
      <c r="E114" s="142"/>
      <c r="F114" s="142"/>
      <c r="G114" s="142"/>
      <c r="H114" s="142"/>
      <c r="I114" s="142"/>
      <c r="J114" s="142"/>
      <c r="K114" s="142"/>
      <c r="L114" s="142"/>
      <c r="P114" s="117"/>
      <c r="Q114" s="117"/>
      <c r="R114" s="117"/>
      <c r="S114" s="117"/>
      <c r="T114" s="117"/>
      <c r="U114" s="118"/>
      <c r="V114" s="119"/>
      <c r="W114" s="119"/>
      <c r="X114" s="117"/>
      <c r="Y114" s="117"/>
      <c r="Z114" s="117"/>
      <c r="AA114" s="159"/>
      <c r="AB114" s="149"/>
      <c r="AC114" s="149"/>
      <c r="AD114" s="149"/>
      <c r="AE114" s="149"/>
      <c r="AF114" s="149"/>
      <c r="AG114" s="149"/>
      <c r="AH114" s="149"/>
      <c r="AI114" s="149"/>
      <c r="AJ114" s="149"/>
      <c r="AK114" s="149"/>
      <c r="AL114" s="149"/>
    </row>
    <row r="115" spans="1:38" outlineLevel="2" x14ac:dyDescent="0.15">
      <c r="A115" s="108" t="s">
        <v>99</v>
      </c>
      <c r="B115" s="164">
        <f>CHOOSE(IF($B$1=2,2,1),'GAAP-IFRS'!E22,IF('Broker Actual'!E22="-",'GAAP-IFRS'!E22,'Broker Actual'!E22))</f>
        <v>894.4</v>
      </c>
      <c r="C115" s="164">
        <f>CHOOSE(IF($B$1=2,2,1),'GAAP-IFRS'!F22,IF('Broker Actual'!F22="-",'GAAP-IFRS'!F22,'Broker Actual'!F22))</f>
        <v>858.1</v>
      </c>
      <c r="D115" s="164">
        <f>CHOOSE(IF($B$1=2,2,1),'GAAP-IFRS'!G22,IF('Broker Actual'!G22="-",'GAAP-IFRS'!G22,'Broker Actual'!G22))</f>
        <v>413.4</v>
      </c>
      <c r="E115" s="164">
        <f>CHOOSE(IF($B$1=2,2,1),'GAAP-IFRS'!H22,IF('Broker Actual'!H22="-",'GAAP-IFRS'!H22,'Broker Actual'!H22))</f>
        <v>867.1</v>
      </c>
      <c r="F115" s="164">
        <f>CHOOSE(IF($B$1=2,2,1),'GAAP-IFRS'!I22,IF('Broker Actual'!I22="-",'GAAP-IFRS'!I22,'Broker Actual'!I22))</f>
        <v>931.4</v>
      </c>
      <c r="G115" s="164">
        <f>CHOOSE(IF($B$1=2,2,1),'GAAP-IFRS'!J22,IF('Broker Actual'!J22="-",'GAAP-IFRS'!J22,'Broker Actual'!J22))</f>
        <v>994.2</v>
      </c>
      <c r="H115" s="164">
        <f>CHOOSE(IF($B$1=2,2,1),'GAAP-IFRS'!K22,IF('Broker Actual'!K22="-",'GAAP-IFRS'!K22,'Broker Actual'!K22))</f>
        <v>523.4</v>
      </c>
      <c r="I115" s="164">
        <f>CHOOSE(IF($B$1=2,2,1),'GAAP-IFRS'!L22,IF('Broker Actual'!L22="-",'GAAP-IFRS'!L22,'Broker Actual'!L22))</f>
        <v>1100.3</v>
      </c>
      <c r="J115" s="164">
        <f>CHOOSE(IF($B$1=2,2,1),'GAAP-IFRS'!M22,IF('Broker Actual'!M22="-",'GAAP-IFRS'!M22,'Broker Actual'!M22))</f>
        <v>1005.4</v>
      </c>
      <c r="K115" s="164">
        <f>CHOOSE(IF($B$1=2,2,1),'GAAP-IFRS'!N22,IF('Broker Actual'!N22="-",'GAAP-IFRS'!N22,'Broker Actual'!N22))</f>
        <v>890.7</v>
      </c>
      <c r="L115" s="164">
        <f>CHOOSE(IF($B$1=2,2,1),'GAAP-IFRS'!O22,IF('Broker Actual'!O22="-",'GAAP-IFRS'!O22,'Broker Actual'!O22))</f>
        <v>1254.3</v>
      </c>
      <c r="M115" s="226">
        <f>M108-M110+M113</f>
        <v>1526.0611291652717</v>
      </c>
      <c r="N115" s="226">
        <f>N108-N110+N113</f>
        <v>1249.1330029586225</v>
      </c>
      <c r="O115" s="226">
        <f t="shared" ref="O115:Q115" si="76">O108-O110+O113</f>
        <v>1145.2887825081036</v>
      </c>
      <c r="P115" s="226">
        <f t="shared" si="76"/>
        <v>995.14876062955943</v>
      </c>
      <c r="Q115" s="226">
        <f t="shared" si="76"/>
        <v>907.17856643416189</v>
      </c>
      <c r="R115" s="117"/>
      <c r="S115" s="117"/>
      <c r="T115" s="117"/>
      <c r="U115" s="118"/>
      <c r="V115" s="147" t="s">
        <v>78</v>
      </c>
      <c r="W115" s="147" t="s">
        <v>100</v>
      </c>
      <c r="X115" s="145" cm="1">
        <f t="array" ref="X115">_xll.FDSC("--",$A$1,""&amp;$V115&amp;"("&amp;$W115&amp;","&amp;D$2&amp;",ANNUAL_ROLL,+1,0,,,'CURRENCY="&amp;$E$1&amp;"')")</f>
        <v>1516</v>
      </c>
      <c r="Y115" s="145" t="e" cm="1">
        <f t="array" ref="Y115">_xll.FDSC("--",$A$1,""&amp;$V115&amp;"("&amp;$W115&amp;","&amp;E$2&amp;",ANNUAL_ROLL,+1,0,,,'CURRENCY="&amp;$E$1&amp;"')")</f>
        <v>#NUM!</v>
      </c>
      <c r="Z115" s="145" cm="1">
        <f t="array" ref="Z115">_xll.FDSC("--",$A$1,""&amp;$V115&amp;"("&amp;$W115&amp;","&amp;D$2&amp;",ANNUAL_ROLL,+3,0,,,'CURRENCY="&amp;$E$1&amp;"')")</f>
        <v>1539.3</v>
      </c>
      <c r="AA115" s="117"/>
      <c r="AB115" s="117"/>
      <c r="AC115" s="120"/>
    </row>
    <row r="116" spans="1:38" outlineLevel="2" x14ac:dyDescent="0.15">
      <c r="A116" s="128" t="s">
        <v>74</v>
      </c>
      <c r="B116" s="159"/>
      <c r="C116" s="138">
        <f>C115/B115-1</f>
        <v>-4.0585867620751337E-2</v>
      </c>
      <c r="D116" s="138">
        <f t="shared" ref="D116:Q116" si="77">D115/C115-1</f>
        <v>-0.51823796760284346</v>
      </c>
      <c r="E116" s="138">
        <f t="shared" si="77"/>
        <v>1.0974842767295598</v>
      </c>
      <c r="F116" s="138">
        <f t="shared" si="77"/>
        <v>7.4155230077268985E-2</v>
      </c>
      <c r="G116" s="138">
        <f t="shared" si="77"/>
        <v>6.7425381146660968E-2</v>
      </c>
      <c r="H116" s="138">
        <f t="shared" si="77"/>
        <v>-0.47354657010661838</v>
      </c>
      <c r="I116" s="138">
        <f t="shared" si="77"/>
        <v>1.1022162781811233</v>
      </c>
      <c r="J116" s="138">
        <f t="shared" si="77"/>
        <v>-8.624920476233755E-2</v>
      </c>
      <c r="K116" s="138">
        <f t="shared" si="77"/>
        <v>-0.11408394668788535</v>
      </c>
      <c r="L116" s="138">
        <f t="shared" si="77"/>
        <v>0.40821825530481637</v>
      </c>
      <c r="M116" s="138">
        <f t="shared" si="77"/>
        <v>0.21666358061490221</v>
      </c>
      <c r="N116" s="138">
        <f t="shared" si="77"/>
        <v>-0.18146594583542275</v>
      </c>
      <c r="O116" s="138">
        <f t="shared" si="77"/>
        <v>-8.3133037238276142E-2</v>
      </c>
      <c r="P116" s="138">
        <f t="shared" si="77"/>
        <v>-0.13109359331167802</v>
      </c>
      <c r="Q116" s="138">
        <f t="shared" si="77"/>
        <v>-8.8399039094160248E-2</v>
      </c>
      <c r="R116" s="117"/>
      <c r="S116" s="117"/>
      <c r="T116" s="117"/>
      <c r="U116" s="118"/>
      <c r="V116" s="169"/>
      <c r="W116" s="169"/>
      <c r="X116" s="159"/>
      <c r="Y116" s="159"/>
      <c r="Z116" s="159"/>
      <c r="AA116" s="117"/>
      <c r="AB116" s="117"/>
      <c r="AC116" s="120"/>
    </row>
    <row r="117" spans="1:38" outlineLevel="2" x14ac:dyDescent="0.15">
      <c r="A117" s="108"/>
      <c r="B117" s="145"/>
      <c r="C117" s="145"/>
      <c r="D117" s="145"/>
      <c r="E117" s="145"/>
      <c r="F117" s="145"/>
      <c r="G117" s="145"/>
      <c r="H117" s="145"/>
      <c r="I117" s="145"/>
      <c r="J117" s="145"/>
      <c r="K117" s="145"/>
      <c r="L117" s="145"/>
      <c r="M117" s="139"/>
      <c r="N117" s="139"/>
      <c r="O117" s="139"/>
      <c r="P117" s="117"/>
      <c r="Q117" s="117"/>
      <c r="R117" s="117"/>
      <c r="S117" s="117"/>
      <c r="T117" s="117"/>
      <c r="U117" s="118"/>
      <c r="V117" s="147"/>
      <c r="W117" s="147"/>
      <c r="X117" s="145"/>
      <c r="Y117" s="145"/>
      <c r="Z117" s="145"/>
      <c r="AA117" s="117"/>
      <c r="AB117" s="117"/>
      <c r="AC117" s="120"/>
    </row>
    <row r="118" spans="1:38" outlineLevel="2" x14ac:dyDescent="0.15">
      <c r="A118" s="78" t="s">
        <v>101</v>
      </c>
      <c r="B118" s="114"/>
      <c r="C118" s="165"/>
      <c r="D118" s="165"/>
      <c r="E118" s="145"/>
      <c r="F118" s="145"/>
      <c r="G118" s="145"/>
      <c r="H118" s="145"/>
      <c r="I118" s="145"/>
      <c r="J118" s="145"/>
      <c r="K118" s="145"/>
      <c r="L118" s="145"/>
      <c r="M118" s="261">
        <v>5.5</v>
      </c>
      <c r="N118" s="261">
        <v>5.5</v>
      </c>
      <c r="O118" s="261">
        <v>5.5</v>
      </c>
      <c r="P118" s="261">
        <v>5.5</v>
      </c>
      <c r="Q118" s="261">
        <v>5.5</v>
      </c>
      <c r="R118" s="117"/>
      <c r="S118" s="117"/>
      <c r="T118" s="117"/>
      <c r="U118" s="118"/>
      <c r="V118" s="147"/>
      <c r="W118" s="147"/>
      <c r="X118" s="145"/>
      <c r="Y118" s="145"/>
      <c r="Z118" s="145"/>
      <c r="AA118" s="117"/>
      <c r="AB118" s="117"/>
      <c r="AC118" s="120"/>
    </row>
    <row r="119" spans="1:38" outlineLevel="2" x14ac:dyDescent="0.15">
      <c r="A119" s="94" t="s">
        <v>102</v>
      </c>
      <c r="B119" s="166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39">
        <f>M124*M118</f>
        <v>42.998648618898535</v>
      </c>
      <c r="N119" s="139">
        <f t="shared" ref="N119:Q119" si="78">N124*N118</f>
        <v>37.439953767152176</v>
      </c>
      <c r="O119" s="139">
        <f t="shared" si="78"/>
        <v>36.729377864691372</v>
      </c>
      <c r="P119" s="139">
        <f t="shared" si="78"/>
        <v>33.373891362576693</v>
      </c>
      <c r="Q119" s="139">
        <f t="shared" si="78"/>
        <v>30.990572145266402</v>
      </c>
      <c r="R119" s="117"/>
      <c r="S119" s="117"/>
      <c r="T119" s="117"/>
      <c r="U119" s="118"/>
      <c r="V119" s="179"/>
      <c r="W119" s="179"/>
      <c r="X119" s="167"/>
      <c r="Y119" s="167"/>
      <c r="Z119" s="167"/>
      <c r="AA119" s="117"/>
      <c r="AB119" s="117"/>
      <c r="AC119" s="120"/>
    </row>
    <row r="120" spans="1:38" outlineLevel="2" x14ac:dyDescent="0.15">
      <c r="A120" s="78" t="s">
        <v>103</v>
      </c>
      <c r="B120" s="145"/>
      <c r="C120" s="145"/>
      <c r="D120" s="145"/>
      <c r="E120" s="145"/>
      <c r="F120" s="145"/>
      <c r="G120" s="145"/>
      <c r="H120" s="145"/>
      <c r="I120" s="145"/>
      <c r="J120" s="145"/>
      <c r="K120" s="145"/>
      <c r="L120" s="145"/>
      <c r="M120" s="261">
        <f>-M294/M119</f>
        <v>8.9289429764511059</v>
      </c>
      <c r="N120" s="261">
        <f>-N294/N119</f>
        <v>10.1467650775446</v>
      </c>
      <c r="O120" s="261">
        <f>-O294/O119</f>
        <v>9.8836438011018029</v>
      </c>
      <c r="P120" s="261">
        <f>-P294/P119</f>
        <v>3.1298742275960967</v>
      </c>
      <c r="Q120" s="261">
        <f>-Q294/Q119</f>
        <v>-4.3869002156444168</v>
      </c>
      <c r="R120" s="117"/>
      <c r="S120" s="117"/>
      <c r="T120" s="117"/>
      <c r="U120" s="118"/>
      <c r="V120" s="147"/>
      <c r="W120" s="147"/>
      <c r="X120" s="145"/>
      <c r="Y120" s="145"/>
      <c r="Z120" s="145"/>
      <c r="AA120" s="145"/>
      <c r="AB120" s="117"/>
      <c r="AC120" s="120"/>
    </row>
    <row r="121" spans="1:38" outlineLevel="2" x14ac:dyDescent="0.15">
      <c r="A121" s="94" t="s">
        <v>104</v>
      </c>
      <c r="B121" s="167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78">
        <f>L122-M120</f>
        <v>193.18045702354888</v>
      </c>
      <c r="N121" s="178">
        <f>M122-N120</f>
        <v>185.05323492245537</v>
      </c>
      <c r="O121" s="178">
        <f t="shared" ref="O121:Q121" si="79">N122-O120</f>
        <v>173.61635619889819</v>
      </c>
      <c r="P121" s="178">
        <f t="shared" si="79"/>
        <v>168.3701257724039</v>
      </c>
      <c r="Q121" s="178">
        <f t="shared" si="79"/>
        <v>168.3869002156444</v>
      </c>
      <c r="R121" s="117"/>
      <c r="S121" s="117"/>
      <c r="T121" s="117"/>
      <c r="U121" s="118"/>
      <c r="V121" s="179"/>
      <c r="W121" s="179"/>
      <c r="X121" s="167"/>
      <c r="Y121" s="167"/>
      <c r="Z121" s="167"/>
      <c r="AA121" s="159"/>
      <c r="AB121" s="117"/>
      <c r="AC121" s="120"/>
    </row>
    <row r="122" spans="1:38" outlineLevel="2" x14ac:dyDescent="0.15">
      <c r="A122" s="172" t="s">
        <v>105</v>
      </c>
      <c r="B122" s="173">
        <f>CHOOSE(IF($B$1=2,2,1),'GAAP-IFRS'!E24,IF('Broker Actual'!E24="-",'GAAP-IFRS'!E24,'Broker Actual'!E24))</f>
        <v>281.7568</v>
      </c>
      <c r="C122" s="173">
        <f>CHOOSE(IF($B$1=2,2,1),'GAAP-IFRS'!F24,IF('Broker Actual'!F24="-",'GAAP-IFRS'!F24,'Broker Actual'!F24))</f>
        <v>265.94920000000002</v>
      </c>
      <c r="D122" s="173">
        <f>CHOOSE(IF($B$1=2,2,1),'GAAP-IFRS'!G24,IF('Broker Actual'!G24="-",'GAAP-IFRS'!G24,'Broker Actual'!G24))</f>
        <v>256.65280000000001</v>
      </c>
      <c r="E122" s="173">
        <f>CHOOSE(IF($B$1=2,2,1),'GAAP-IFRS'!H24,IF('Broker Actual'!H24="-",'GAAP-IFRS'!H24,'Broker Actual'!H24))</f>
        <v>247.85470000000001</v>
      </c>
      <c r="F122" s="173">
        <f>CHOOSE(IF($B$1=2,2,1),'GAAP-IFRS'!I24,IF('Broker Actual'!I24="-",'GAAP-IFRS'!I24,'Broker Actual'!I24))</f>
        <v>235.97919999999999</v>
      </c>
      <c r="G122" s="173">
        <f>CHOOSE(IF($B$1=2,2,1),'GAAP-IFRS'!J24,IF('Broker Actual'!J24="-",'GAAP-IFRS'!J24,'Broker Actual'!J24))</f>
        <v>227.33519999999999</v>
      </c>
      <c r="H122" s="173">
        <f>CHOOSE(IF($B$1=2,2,1),'GAAP-IFRS'!K24,IF('Broker Actual'!K24="-",'GAAP-IFRS'!K24,'Broker Actual'!K24))</f>
        <v>220.05860000000001</v>
      </c>
      <c r="I122" s="173">
        <f>CHOOSE(IF($B$1=2,2,1),'GAAP-IFRS'!L24,IF('Broker Actual'!L24="-",'GAAP-IFRS'!L24,'Broker Actual'!L24))</f>
        <v>209.8544</v>
      </c>
      <c r="J122" s="173">
        <f>CHOOSE(IF($B$1=2,2,1),'GAAP-IFRS'!M24,IF('Broker Actual'!M24="-",'GAAP-IFRS'!M24,'Broker Actual'!M24))</f>
        <v>203.75530000000001</v>
      </c>
      <c r="K122" s="173">
        <f>CHOOSE(IF($B$1=2,2,1),'GAAP-IFRS'!N24,IF('Broker Actual'!N24="-",'GAAP-IFRS'!N24,'Broker Actual'!N24))</f>
        <v>204.84790000000001</v>
      </c>
      <c r="L122" s="173">
        <f>CHOOSE(IF($B$1=2,2,1),'GAAP-IFRS'!O24,IF('Broker Actual'!O24="-",'GAAP-IFRS'!O24,'Broker Actual'!O24))</f>
        <v>202.10939999999999</v>
      </c>
      <c r="M122" s="261">
        <v>195.2</v>
      </c>
      <c r="N122" s="261">
        <v>183.5</v>
      </c>
      <c r="O122" s="261">
        <v>171.5</v>
      </c>
      <c r="P122" s="261">
        <v>164</v>
      </c>
      <c r="Q122" s="261">
        <v>161</v>
      </c>
      <c r="R122" s="117"/>
      <c r="S122" s="117"/>
      <c r="T122" s="117"/>
      <c r="U122" s="118"/>
      <c r="V122" s="180"/>
      <c r="W122" s="180"/>
      <c r="X122" s="175"/>
      <c r="Y122" s="175"/>
      <c r="Z122" s="175"/>
      <c r="AA122" s="145"/>
      <c r="AB122" s="117"/>
      <c r="AC122" s="120"/>
    </row>
    <row r="123" spans="1:38" outlineLevel="2" x14ac:dyDescent="0.15">
      <c r="A123" s="174" t="s">
        <v>74</v>
      </c>
      <c r="B123" s="175"/>
      <c r="C123" s="138">
        <f>C122/B122-1</f>
        <v>-5.6103703619575396E-2</v>
      </c>
      <c r="D123" s="138">
        <f t="shared" ref="D123:Q123" si="80">D122/C122-1</f>
        <v>-3.4955547901629358E-2</v>
      </c>
      <c r="E123" s="138">
        <f t="shared" si="80"/>
        <v>-3.428016370754583E-2</v>
      </c>
      <c r="F123" s="138">
        <f t="shared" si="80"/>
        <v>-4.7913152342884846E-2</v>
      </c>
      <c r="G123" s="138">
        <f t="shared" si="80"/>
        <v>-3.6630347081437753E-2</v>
      </c>
      <c r="H123" s="138">
        <f t="shared" si="80"/>
        <v>-3.200824157455584E-2</v>
      </c>
      <c r="I123" s="138">
        <f t="shared" si="80"/>
        <v>-4.637037589078552E-2</v>
      </c>
      <c r="J123" s="138">
        <f t="shared" si="80"/>
        <v>-2.9063484015584118E-2</v>
      </c>
      <c r="K123" s="138">
        <f t="shared" si="80"/>
        <v>5.3623145017578366E-3</v>
      </c>
      <c r="L123" s="138">
        <f t="shared" si="80"/>
        <v>-1.3368455327098849E-2</v>
      </c>
      <c r="M123" s="138">
        <f t="shared" si="80"/>
        <v>-3.4186435663061676E-2</v>
      </c>
      <c r="N123" s="138">
        <f t="shared" si="80"/>
        <v>-5.9938524590163911E-2</v>
      </c>
      <c r="O123" s="138">
        <f t="shared" si="80"/>
        <v>-6.5395095367847378E-2</v>
      </c>
      <c r="P123" s="138">
        <f t="shared" si="80"/>
        <v>-4.3731778425656009E-2</v>
      </c>
      <c r="Q123" s="138">
        <f t="shared" si="80"/>
        <v>-1.8292682926829285E-2</v>
      </c>
      <c r="R123" s="111"/>
      <c r="S123" s="111"/>
      <c r="T123" s="111"/>
      <c r="V123" s="180"/>
      <c r="W123" s="180"/>
      <c r="X123" s="175"/>
      <c r="Y123" s="175"/>
      <c r="Z123" s="175"/>
      <c r="AA123" s="145"/>
    </row>
    <row r="124" spans="1:38" outlineLevel="2" collapsed="1" x14ac:dyDescent="0.15">
      <c r="A124" s="176" t="s">
        <v>106</v>
      </c>
      <c r="B124" s="177">
        <f>CHOOSE(IF($B$1=2,2,1),'GAAP-IFRS'!E25,IF('Broker Actual'!E25="-",'GAAP-IFRS'!E25,'Broker Actual'!E25))</f>
        <v>3.15</v>
      </c>
      <c r="C124" s="177">
        <f>CHOOSE(IF($B$1=2,2,1),'GAAP-IFRS'!F25,IF('Broker Actual'!F25="-",'GAAP-IFRS'!F25,'Broker Actual'!F25))</f>
        <v>3.32</v>
      </c>
      <c r="D124" s="177">
        <f>CHOOSE(IF($B$1=2,2,1),'GAAP-IFRS'!G25,IF('Broker Actual'!G25="-",'GAAP-IFRS'!G25,'Broker Actual'!G25))</f>
        <v>3.55</v>
      </c>
      <c r="E124" s="177">
        <f>CHOOSE(IF($B$1=2,2,1),'GAAP-IFRS'!H25,IF('Broker Actual'!H25="-",'GAAP-IFRS'!H25,'Broker Actual'!H25))</f>
        <v>3.64</v>
      </c>
      <c r="F124" s="177">
        <f>CHOOSE(IF($B$1=2,2,1),'GAAP-IFRS'!I25,IF('Broker Actual'!I25="-",'GAAP-IFRS'!I25,'Broker Actual'!I25))</f>
        <v>3.92</v>
      </c>
      <c r="G124" s="177">
        <f>CHOOSE(IF($B$1=2,2,1),'GAAP-IFRS'!J25,IF('Broker Actual'!J25="-",'GAAP-IFRS'!J25,'Broker Actual'!J25))</f>
        <v>4.29</v>
      </c>
      <c r="H124" s="177">
        <f>CHOOSE(IF($B$1=2,2,1),'GAAP-IFRS'!K25,IF('Broker Actual'!K25="-",'GAAP-IFRS'!K25,'Broker Actual'!K25))</f>
        <v>5.2</v>
      </c>
      <c r="I124" s="177">
        <f>CHOOSE(IF($B$1=2,2,1),'GAAP-IFRS'!L25,IF('Broker Actual'!L25="-",'GAAP-IFRS'!L25,'Broker Actual'!L25))</f>
        <v>5.44</v>
      </c>
      <c r="J124" s="177">
        <f>CHOOSE(IF($B$1=2,2,1),'GAAP-IFRS'!M25,IF('Broker Actual'!M25="-",'GAAP-IFRS'!M25,'Broker Actual'!M25))</f>
        <v>4.93</v>
      </c>
      <c r="K124" s="177">
        <f>CHOOSE(IF($B$1=2,2,1),'GAAP-IFRS'!N25,IF('Broker Actual'!N25="-",'GAAP-IFRS'!N25,'Broker Actual'!N25))</f>
        <v>4.3499999999999996</v>
      </c>
      <c r="L124" s="177">
        <f>CHOOSE(IF($B$1=2,2,1),'GAAP-IFRS'!O25,IF('Broker Actual'!O25="-",'GAAP-IFRS'!O25,'Broker Actual'!O25))</f>
        <v>6.21</v>
      </c>
      <c r="M124" s="228">
        <f>M115/M122</f>
        <v>7.8179361125270068</v>
      </c>
      <c r="N124" s="228">
        <f>N115/N122</f>
        <v>6.8072643213003952</v>
      </c>
      <c r="O124" s="228">
        <f t="shared" ref="O124:Q124" si="81">O115/O122</f>
        <v>6.6780687026711583</v>
      </c>
      <c r="P124" s="228">
        <f t="shared" si="81"/>
        <v>6.0679802477412164</v>
      </c>
      <c r="Q124" s="228">
        <f t="shared" si="81"/>
        <v>5.6346494809575276</v>
      </c>
      <c r="R124" s="117"/>
      <c r="S124" s="117"/>
      <c r="T124" s="117"/>
      <c r="U124" s="118"/>
      <c r="V124" s="180"/>
      <c r="W124" s="180"/>
      <c r="X124" s="175"/>
      <c r="Y124" s="175"/>
      <c r="Z124" s="175"/>
      <c r="AA124" s="167"/>
      <c r="AB124" s="117"/>
      <c r="AC124" s="120"/>
    </row>
    <row r="125" spans="1:38" outlineLevel="1" x14ac:dyDescent="0.15">
      <c r="A125" s="128" t="s">
        <v>74</v>
      </c>
      <c r="B125" s="159"/>
      <c r="C125" s="138">
        <f>C124/B124-1</f>
        <v>5.3968253968253999E-2</v>
      </c>
      <c r="D125" s="138">
        <f t="shared" ref="D125:Q125" si="82">D124/C124-1</f>
        <v>6.9277108433734913E-2</v>
      </c>
      <c r="E125" s="138">
        <f t="shared" si="82"/>
        <v>2.5352112676056526E-2</v>
      </c>
      <c r="F125" s="138">
        <f t="shared" si="82"/>
        <v>7.6923076923076872E-2</v>
      </c>
      <c r="G125" s="138">
        <f t="shared" si="82"/>
        <v>9.4387755102040893E-2</v>
      </c>
      <c r="H125" s="138">
        <f t="shared" si="82"/>
        <v>0.21212121212121215</v>
      </c>
      <c r="I125" s="138">
        <f t="shared" si="82"/>
        <v>4.6153846153846212E-2</v>
      </c>
      <c r="J125" s="138">
        <f t="shared" si="82"/>
        <v>-9.3750000000000111E-2</v>
      </c>
      <c r="K125" s="138">
        <f t="shared" si="82"/>
        <v>-0.11764705882352944</v>
      </c>
      <c r="L125" s="138">
        <f t="shared" si="82"/>
        <v>0.42758620689655191</v>
      </c>
      <c r="M125" s="138">
        <f t="shared" si="82"/>
        <v>0.25892691022979175</v>
      </c>
      <c r="N125" s="138">
        <f t="shared" si="82"/>
        <v>-0.1292760361148475</v>
      </c>
      <c r="O125" s="138">
        <f t="shared" si="82"/>
        <v>-1.8979080660196379E-2</v>
      </c>
      <c r="P125" s="138">
        <f t="shared" si="82"/>
        <v>-9.1357019835077935E-2</v>
      </c>
      <c r="Q125" s="138">
        <f t="shared" si="82"/>
        <v>-7.1412685785355756E-2</v>
      </c>
      <c r="R125" s="111"/>
      <c r="S125" s="111"/>
      <c r="T125" s="111"/>
      <c r="V125" s="169"/>
      <c r="W125" s="169"/>
      <c r="X125" s="159"/>
      <c r="Y125" s="159"/>
      <c r="Z125" s="159"/>
      <c r="AA125" s="145"/>
    </row>
    <row r="126" spans="1:38" outlineLevel="1" x14ac:dyDescent="0.15">
      <c r="A126" s="128"/>
      <c r="B126" s="159"/>
      <c r="C126" s="138"/>
      <c r="D126" s="138"/>
      <c r="E126" s="138"/>
      <c r="F126" s="138"/>
      <c r="G126" s="138"/>
      <c r="H126" s="138"/>
      <c r="I126" s="138"/>
      <c r="J126" s="138"/>
      <c r="K126" s="138"/>
      <c r="L126" s="138"/>
      <c r="N126" s="139"/>
      <c r="P126" s="117"/>
      <c r="Q126" s="117"/>
      <c r="R126" s="117"/>
      <c r="S126" s="117"/>
      <c r="T126" s="117"/>
      <c r="U126" s="118"/>
      <c r="V126" s="169"/>
      <c r="W126" s="169"/>
      <c r="X126" s="159"/>
      <c r="Y126" s="159"/>
      <c r="Z126" s="159"/>
      <c r="AA126" s="167"/>
      <c r="AB126" s="117"/>
      <c r="AC126" s="120"/>
    </row>
    <row r="127" spans="1:38" outlineLevel="1" x14ac:dyDescent="0.15">
      <c r="A127" s="128"/>
      <c r="B127" s="159"/>
      <c r="C127" s="138"/>
      <c r="D127" s="138"/>
      <c r="E127" s="138"/>
      <c r="F127" s="138"/>
      <c r="G127" s="138"/>
      <c r="H127" s="138"/>
      <c r="I127" s="138"/>
      <c r="J127" s="138"/>
      <c r="K127" s="138"/>
      <c r="L127" s="152" t="s">
        <v>588</v>
      </c>
      <c r="M127" s="227">
        <f ca="1">(M124*M4)+(N4*N124)</f>
        <v>6.8044953574888156</v>
      </c>
      <c r="N127" s="227">
        <f ca="1">(N124*M4)+(O124*N4)</f>
        <v>6.6777147420721752</v>
      </c>
      <c r="P127" s="117"/>
      <c r="Q127" s="117"/>
      <c r="R127" s="117"/>
      <c r="S127" s="117"/>
      <c r="T127" s="117"/>
      <c r="U127" s="118"/>
      <c r="V127" s="169"/>
      <c r="W127" s="169"/>
      <c r="X127" s="159"/>
      <c r="Y127" s="159"/>
      <c r="Z127" s="159"/>
      <c r="AA127" s="175"/>
      <c r="AB127" s="117"/>
      <c r="AC127" s="120"/>
    </row>
    <row r="128" spans="1:38" outlineLevel="1" x14ac:dyDescent="0.15">
      <c r="A128" s="128"/>
      <c r="B128" s="159"/>
      <c r="C128" s="138"/>
      <c r="D128" s="138"/>
      <c r="E128" s="138"/>
      <c r="F128" s="138"/>
      <c r="G128" s="138"/>
      <c r="H128" s="138"/>
      <c r="I128" s="138"/>
      <c r="J128" s="138"/>
      <c r="K128" s="138"/>
      <c r="L128" s="138"/>
      <c r="O128" s="227"/>
      <c r="P128" s="117"/>
      <c r="Q128" s="117"/>
      <c r="R128" s="117"/>
      <c r="S128" s="117"/>
      <c r="T128" s="117"/>
      <c r="U128" s="118"/>
      <c r="V128" s="169"/>
      <c r="W128" s="169"/>
      <c r="X128" s="159"/>
      <c r="Y128" s="159"/>
      <c r="Z128" s="159"/>
      <c r="AA128" s="175"/>
      <c r="AB128" s="117"/>
      <c r="AC128" s="120"/>
    </row>
    <row r="129" spans="1:30" outlineLevel="1" collapsed="1" x14ac:dyDescent="0.15">
      <c r="A129" s="128"/>
      <c r="B129" s="159"/>
      <c r="C129" s="138"/>
      <c r="D129" s="138"/>
      <c r="E129" s="138"/>
      <c r="F129" s="138"/>
      <c r="G129" s="138"/>
      <c r="H129" s="138"/>
      <c r="I129" s="138"/>
      <c r="J129" s="138"/>
      <c r="K129" s="138"/>
      <c r="L129" s="138"/>
      <c r="N129" s="227"/>
      <c r="O129" s="227"/>
      <c r="P129" s="117"/>
      <c r="Q129" s="117"/>
      <c r="R129" s="117"/>
      <c r="S129" s="117"/>
      <c r="T129" s="117"/>
      <c r="U129" s="118"/>
      <c r="V129" s="169"/>
      <c r="W129" s="169"/>
      <c r="X129" s="159"/>
      <c r="Y129" s="159"/>
      <c r="Z129" s="159"/>
      <c r="AA129" s="175"/>
      <c r="AB129" s="117"/>
      <c r="AC129" s="120"/>
    </row>
    <row r="130" spans="1:30" s="108" customFormat="1" outlineLevel="1" x14ac:dyDescent="0.15">
      <c r="A130" s="128"/>
      <c r="B130" s="159"/>
      <c r="C130" s="138"/>
      <c r="D130" s="138"/>
      <c r="E130" s="138"/>
      <c r="F130" s="138"/>
      <c r="G130" s="138"/>
      <c r="H130" s="138"/>
      <c r="I130" s="138"/>
      <c r="J130" s="138"/>
      <c r="K130" s="138"/>
      <c r="L130" s="138"/>
      <c r="M130" s="75"/>
      <c r="N130" s="227"/>
      <c r="O130" s="227"/>
      <c r="P130" s="145"/>
      <c r="Q130" s="145"/>
      <c r="R130" s="145"/>
      <c r="S130" s="145"/>
      <c r="T130" s="145"/>
      <c r="U130" s="146"/>
      <c r="V130" s="169"/>
      <c r="W130" s="169"/>
      <c r="X130" s="159"/>
      <c r="Y130" s="159"/>
      <c r="Z130" s="159"/>
      <c r="AA130" s="159"/>
      <c r="AB130" s="145"/>
      <c r="AC130" s="158"/>
    </row>
    <row r="131" spans="1:30" outlineLevel="1" x14ac:dyDescent="0.15">
      <c r="A131" s="128"/>
      <c r="B131" s="159"/>
      <c r="C131" s="138"/>
      <c r="D131" s="138"/>
      <c r="E131" s="138"/>
      <c r="F131" s="138"/>
      <c r="G131" s="138"/>
      <c r="H131" s="138"/>
      <c r="I131" s="138"/>
      <c r="J131" s="138"/>
      <c r="K131" s="138"/>
      <c r="L131" s="138"/>
      <c r="P131" s="117"/>
      <c r="Q131" s="117"/>
      <c r="R131" s="117"/>
      <c r="S131" s="117"/>
      <c r="T131" s="117"/>
      <c r="U131" s="118"/>
      <c r="V131" s="169"/>
      <c r="W131" s="169"/>
      <c r="X131" s="159"/>
      <c r="Y131" s="159"/>
      <c r="Z131" s="159"/>
      <c r="AA131" s="159"/>
      <c r="AB131" s="117"/>
      <c r="AC131" s="120"/>
    </row>
    <row r="132" spans="1:30" outlineLevel="1" x14ac:dyDescent="0.15">
      <c r="A132" s="128"/>
      <c r="B132" s="159"/>
      <c r="C132" s="138"/>
      <c r="D132" s="138"/>
      <c r="E132" s="138"/>
      <c r="F132" s="138"/>
      <c r="G132" s="138"/>
      <c r="H132" s="138"/>
      <c r="I132" s="138"/>
      <c r="J132" s="138"/>
      <c r="K132" s="138"/>
      <c r="L132" s="138"/>
      <c r="P132" s="117"/>
      <c r="Q132" s="117"/>
      <c r="R132" s="117"/>
      <c r="S132" s="117"/>
      <c r="T132" s="117"/>
      <c r="U132" s="118"/>
      <c r="V132" s="169"/>
      <c r="W132" s="169"/>
      <c r="X132" s="159"/>
      <c r="Y132" s="159"/>
      <c r="Z132" s="159"/>
      <c r="AA132" s="159"/>
      <c r="AB132" s="117"/>
      <c r="AC132" s="120"/>
    </row>
    <row r="133" spans="1:30" outlineLevel="1" x14ac:dyDescent="0.15">
      <c r="A133" s="128"/>
      <c r="B133" s="159"/>
      <c r="C133" s="138"/>
      <c r="D133" s="138"/>
      <c r="E133" s="138"/>
      <c r="F133" s="138"/>
      <c r="G133" s="138"/>
      <c r="H133" s="138"/>
      <c r="I133" s="138"/>
      <c r="J133" s="138"/>
      <c r="K133" s="138"/>
      <c r="L133" s="138"/>
      <c r="P133" s="117"/>
      <c r="Q133" s="117"/>
      <c r="R133" s="117"/>
      <c r="S133" s="117"/>
      <c r="T133" s="117"/>
      <c r="U133" s="118"/>
      <c r="V133" s="169"/>
      <c r="W133" s="169"/>
      <c r="X133" s="159"/>
      <c r="Y133" s="159"/>
      <c r="Z133" s="159"/>
      <c r="AA133" s="159"/>
      <c r="AB133" s="117"/>
      <c r="AC133" s="120"/>
    </row>
    <row r="134" spans="1:30" s="94" customFormat="1" outlineLevel="1" x14ac:dyDescent="0.15">
      <c r="A134" s="128"/>
      <c r="B134" s="159"/>
      <c r="C134" s="138"/>
      <c r="D134" s="138"/>
      <c r="E134" s="138"/>
      <c r="F134" s="138"/>
      <c r="G134" s="138"/>
      <c r="H134" s="138"/>
      <c r="I134" s="138"/>
      <c r="J134" s="138"/>
      <c r="K134" s="138"/>
      <c r="L134" s="138"/>
      <c r="M134" s="75"/>
      <c r="N134" s="75"/>
      <c r="O134" s="75"/>
      <c r="P134" s="155"/>
      <c r="Q134" s="155"/>
      <c r="R134" s="155"/>
      <c r="S134" s="155"/>
      <c r="T134" s="155"/>
      <c r="U134" s="160"/>
      <c r="V134" s="169"/>
      <c r="W134" s="169"/>
      <c r="X134" s="159"/>
      <c r="Y134" s="159"/>
      <c r="Z134" s="159"/>
      <c r="AA134" s="159"/>
      <c r="AB134" s="155"/>
      <c r="AC134" s="162"/>
    </row>
    <row r="135" spans="1:30" outlineLevel="1" x14ac:dyDescent="0.15">
      <c r="A135" s="128"/>
      <c r="B135" s="159"/>
      <c r="C135" s="138"/>
      <c r="D135" s="138"/>
      <c r="E135" s="138"/>
      <c r="F135" s="436"/>
      <c r="G135" s="138"/>
      <c r="H135" s="138"/>
      <c r="I135" s="138"/>
      <c r="J135" s="138"/>
      <c r="K135" s="138"/>
      <c r="L135" s="138"/>
      <c r="P135" s="117"/>
      <c r="Q135" s="117"/>
      <c r="R135" s="117"/>
      <c r="S135" s="117"/>
      <c r="T135" s="117"/>
      <c r="U135" s="118"/>
      <c r="V135" s="169"/>
      <c r="W135" s="169"/>
      <c r="X135" s="159"/>
      <c r="Y135" s="159"/>
      <c r="Z135" s="159"/>
      <c r="AA135" s="159"/>
      <c r="AB135" s="117"/>
      <c r="AC135" s="120"/>
    </row>
    <row r="136" spans="1:30" outlineLevel="1" x14ac:dyDescent="0.15">
      <c r="A136" s="128"/>
      <c r="B136" s="159"/>
      <c r="C136" s="138"/>
      <c r="D136" s="138"/>
      <c r="E136" s="138"/>
      <c r="F136" s="138"/>
      <c r="G136" s="138"/>
      <c r="H136" s="138"/>
      <c r="I136" s="138"/>
      <c r="J136" s="138"/>
      <c r="K136" s="138"/>
      <c r="L136" s="138"/>
      <c r="P136" s="117"/>
      <c r="Q136" s="117"/>
      <c r="R136" s="117"/>
      <c r="S136" s="117"/>
      <c r="T136" s="117"/>
      <c r="U136" s="118"/>
      <c r="V136" s="169"/>
      <c r="W136" s="169"/>
      <c r="X136" s="159"/>
      <c r="Y136" s="159"/>
      <c r="Z136" s="159"/>
      <c r="AA136" s="159"/>
      <c r="AB136" s="117"/>
      <c r="AC136" s="120"/>
    </row>
    <row r="137" spans="1:30" outlineLevel="1" x14ac:dyDescent="0.15">
      <c r="A137" s="128"/>
      <c r="B137" s="159"/>
      <c r="C137" s="138"/>
      <c r="D137" s="138"/>
      <c r="E137" s="138"/>
      <c r="F137" s="138"/>
      <c r="G137" s="138"/>
      <c r="H137" s="138"/>
      <c r="I137" s="138"/>
      <c r="J137" s="138"/>
      <c r="K137" s="138"/>
      <c r="L137" s="138"/>
      <c r="P137" s="117"/>
      <c r="Q137" s="117"/>
      <c r="R137" s="117"/>
      <c r="S137" s="117"/>
      <c r="T137" s="117"/>
      <c r="U137" s="118"/>
      <c r="V137" s="169"/>
      <c r="W137" s="169"/>
      <c r="X137" s="159"/>
      <c r="Y137" s="159"/>
      <c r="Z137" s="159"/>
      <c r="AA137" s="159"/>
      <c r="AB137" s="117"/>
      <c r="AC137" s="120"/>
    </row>
    <row r="138" spans="1:30" outlineLevel="1" x14ac:dyDescent="0.15">
      <c r="A138" s="128"/>
      <c r="B138" s="159"/>
      <c r="C138" s="138"/>
      <c r="D138" s="138"/>
      <c r="E138" s="138"/>
      <c r="F138" s="138"/>
      <c r="G138" s="138"/>
      <c r="H138" s="138"/>
      <c r="I138" s="138"/>
      <c r="J138" s="138"/>
      <c r="K138" s="138"/>
      <c r="L138" s="138"/>
      <c r="P138" s="117"/>
      <c r="Q138" s="117"/>
      <c r="R138" s="117"/>
      <c r="S138" s="117"/>
      <c r="T138" s="117"/>
      <c r="U138" s="118"/>
      <c r="W138" s="77"/>
      <c r="X138" s="111"/>
      <c r="Y138" s="111"/>
      <c r="Z138" s="111"/>
      <c r="AA138" s="159"/>
      <c r="AB138" s="117"/>
      <c r="AC138" s="120"/>
    </row>
    <row r="139" spans="1:30" outlineLevel="1" x14ac:dyDescent="0.15">
      <c r="A139" s="128"/>
      <c r="B139" s="159"/>
      <c r="C139" s="138"/>
      <c r="D139" s="138"/>
      <c r="E139" s="138"/>
      <c r="F139" s="138"/>
      <c r="G139" s="138"/>
      <c r="H139" s="138"/>
      <c r="I139" s="138"/>
      <c r="J139" s="138"/>
      <c r="K139" s="138"/>
      <c r="L139" s="138"/>
      <c r="P139" s="117"/>
      <c r="Q139" s="117"/>
      <c r="R139" s="117"/>
      <c r="S139" s="117"/>
      <c r="T139" s="117"/>
      <c r="U139" s="118"/>
      <c r="W139" s="77"/>
      <c r="X139" s="111"/>
      <c r="Y139" s="111"/>
      <c r="Z139" s="111"/>
      <c r="AA139" s="159"/>
      <c r="AB139" s="117"/>
      <c r="AC139" s="120"/>
    </row>
    <row r="140" spans="1:30" outlineLevel="1" x14ac:dyDescent="0.15">
      <c r="A140" s="128"/>
      <c r="B140" s="159"/>
      <c r="C140" s="138"/>
      <c r="D140" s="138"/>
      <c r="E140" s="138"/>
      <c r="F140" s="138"/>
      <c r="G140" s="138"/>
      <c r="H140" s="138"/>
      <c r="I140" s="138"/>
      <c r="J140" s="138"/>
      <c r="K140" s="138"/>
      <c r="L140" s="138"/>
      <c r="P140" s="117"/>
      <c r="Q140" s="117"/>
      <c r="R140" s="117"/>
      <c r="S140" s="117"/>
      <c r="T140" s="117"/>
      <c r="U140" s="118"/>
      <c r="W140" s="77"/>
      <c r="X140" s="111"/>
      <c r="Y140" s="111"/>
      <c r="Z140" s="111"/>
      <c r="AA140" s="159"/>
      <c r="AB140" s="117"/>
      <c r="AC140" s="120"/>
    </row>
    <row r="141" spans="1:30" outlineLevel="1" x14ac:dyDescent="0.15">
      <c r="A141" s="128"/>
      <c r="B141" s="159"/>
      <c r="C141" s="138"/>
      <c r="D141" s="138"/>
      <c r="E141" s="138"/>
      <c r="F141" s="138"/>
      <c r="G141" s="138"/>
      <c r="H141" s="138"/>
      <c r="I141" s="138"/>
      <c r="J141" s="138"/>
      <c r="K141" s="138"/>
      <c r="L141" s="138"/>
      <c r="P141" s="117"/>
      <c r="Q141" s="117"/>
      <c r="R141" s="117"/>
      <c r="S141" s="117"/>
      <c r="T141" s="117"/>
      <c r="U141" s="118"/>
      <c r="W141" s="77"/>
      <c r="X141" s="111"/>
      <c r="Y141" s="111"/>
      <c r="Z141" s="111"/>
      <c r="AA141" s="159"/>
      <c r="AB141" s="117"/>
      <c r="AC141" s="120"/>
    </row>
    <row r="142" spans="1:30" outlineLevel="1" x14ac:dyDescent="0.15">
      <c r="A142" s="128"/>
      <c r="B142" s="159"/>
      <c r="C142" s="138"/>
      <c r="D142" s="138"/>
      <c r="E142" s="138"/>
      <c r="F142" s="138"/>
      <c r="G142" s="138"/>
      <c r="H142" s="138"/>
      <c r="I142" s="138"/>
      <c r="J142" s="138"/>
      <c r="K142" s="138"/>
      <c r="L142" s="138"/>
      <c r="P142" s="117"/>
      <c r="Q142" s="117"/>
      <c r="R142" s="117"/>
      <c r="S142" s="117"/>
      <c r="T142" s="117"/>
      <c r="U142" s="118"/>
      <c r="W142" s="77"/>
      <c r="X142" s="111"/>
      <c r="Y142" s="111"/>
      <c r="Z142" s="111"/>
      <c r="AA142" s="159"/>
      <c r="AB142" s="117"/>
      <c r="AC142" s="120"/>
    </row>
    <row r="143" spans="1:30" s="108" customFormat="1" outlineLevel="1" x14ac:dyDescent="0.15">
      <c r="A143" s="128"/>
      <c r="B143" s="159"/>
      <c r="C143" s="138"/>
      <c r="D143" s="138"/>
      <c r="E143" s="138"/>
      <c r="F143" s="138"/>
      <c r="G143" s="138"/>
      <c r="H143" s="138"/>
      <c r="I143" s="138"/>
      <c r="J143" s="138"/>
      <c r="K143" s="138"/>
      <c r="L143" s="138"/>
      <c r="M143" s="75"/>
      <c r="N143" s="75"/>
      <c r="O143" s="75"/>
      <c r="P143" s="159"/>
      <c r="Q143" s="159"/>
      <c r="R143" s="159"/>
      <c r="S143" s="159"/>
      <c r="T143" s="159"/>
      <c r="U143" s="168"/>
      <c r="V143" s="77"/>
      <c r="W143" s="77"/>
      <c r="X143" s="111"/>
      <c r="Y143" s="111"/>
      <c r="Z143" s="111"/>
      <c r="AA143" s="111"/>
      <c r="AB143" s="159"/>
      <c r="AC143" s="170"/>
      <c r="AD143" s="171"/>
    </row>
    <row r="144" spans="1:30" outlineLevel="1" x14ac:dyDescent="0.15">
      <c r="A144" s="128"/>
      <c r="B144" s="159"/>
      <c r="C144" s="138"/>
      <c r="D144" s="138"/>
      <c r="E144" s="138"/>
      <c r="F144" s="138"/>
      <c r="G144" s="138"/>
      <c r="H144" s="138"/>
      <c r="I144" s="138"/>
      <c r="J144" s="138"/>
      <c r="K144" s="138"/>
      <c r="L144" s="138"/>
      <c r="P144" s="117"/>
      <c r="Q144" s="117"/>
      <c r="R144" s="117"/>
      <c r="S144" s="117"/>
      <c r="T144" s="117"/>
      <c r="U144" s="118"/>
      <c r="W144" s="77"/>
      <c r="X144" s="111"/>
      <c r="Y144" s="111"/>
      <c r="Z144" s="111"/>
      <c r="AA144" s="111"/>
      <c r="AB144" s="117"/>
      <c r="AC144" s="120"/>
    </row>
    <row r="145" spans="1:29" outlineLevel="1" x14ac:dyDescent="0.15">
      <c r="A145" s="128"/>
      <c r="B145" s="159"/>
      <c r="C145" s="138"/>
      <c r="D145" s="138"/>
      <c r="E145" s="138"/>
      <c r="F145" s="138"/>
      <c r="G145" s="138"/>
      <c r="H145" s="138"/>
      <c r="I145" s="138"/>
      <c r="J145" s="138"/>
      <c r="K145" s="138"/>
      <c r="L145" s="138"/>
      <c r="P145" s="117"/>
      <c r="Q145" s="117"/>
      <c r="R145" s="117"/>
      <c r="S145" s="117"/>
      <c r="T145" s="117"/>
      <c r="U145" s="118"/>
      <c r="AA145" s="111"/>
      <c r="AB145" s="117"/>
      <c r="AC145" s="120"/>
    </row>
    <row r="146" spans="1:29" outlineLevel="1" x14ac:dyDescent="0.15">
      <c r="A146" s="128"/>
      <c r="B146" s="159"/>
      <c r="C146" s="138"/>
      <c r="D146" s="138"/>
      <c r="E146" s="138"/>
      <c r="F146" s="138"/>
      <c r="G146" s="138"/>
      <c r="H146" s="138"/>
      <c r="I146" s="138"/>
      <c r="J146" s="138"/>
      <c r="K146" s="138"/>
      <c r="L146" s="138"/>
      <c r="P146" s="117"/>
      <c r="Q146" s="117"/>
      <c r="R146" s="117"/>
      <c r="S146" s="117"/>
      <c r="T146" s="117"/>
      <c r="U146" s="118"/>
      <c r="AA146" s="111"/>
      <c r="AB146" s="117"/>
      <c r="AC146" s="120"/>
    </row>
    <row r="147" spans="1:29" outlineLevel="1" x14ac:dyDescent="0.15">
      <c r="A147" s="128"/>
      <c r="B147" s="159"/>
      <c r="C147" s="138"/>
      <c r="D147" s="138"/>
      <c r="E147" s="138"/>
      <c r="F147" s="138"/>
      <c r="G147" s="138"/>
      <c r="H147" s="138"/>
      <c r="I147" s="138"/>
      <c r="J147" s="138"/>
      <c r="K147" s="138"/>
      <c r="L147" s="138"/>
      <c r="P147" s="117"/>
      <c r="Q147" s="117"/>
      <c r="R147" s="117"/>
      <c r="S147" s="117"/>
      <c r="T147" s="117"/>
      <c r="U147" s="118"/>
      <c r="AA147" s="111"/>
      <c r="AB147" s="117"/>
      <c r="AC147" s="120"/>
    </row>
    <row r="148" spans="1:29" outlineLevel="1" x14ac:dyDescent="0.15">
      <c r="P148" s="117"/>
      <c r="Q148" s="117"/>
      <c r="R148" s="117"/>
      <c r="S148" s="117"/>
      <c r="T148" s="117"/>
      <c r="U148" s="118"/>
      <c r="AA148" s="111"/>
      <c r="AB148" s="117"/>
      <c r="AC148" s="120"/>
    </row>
    <row r="149" spans="1:29" s="108" customFormat="1" outlineLevel="1" x14ac:dyDescent="0.15">
      <c r="A149" s="78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145"/>
      <c r="Q149" s="145"/>
      <c r="R149" s="145"/>
      <c r="S149" s="145"/>
      <c r="T149" s="145"/>
      <c r="U149" s="146"/>
      <c r="AA149" s="111"/>
      <c r="AB149" s="145"/>
      <c r="AC149" s="158"/>
    </row>
    <row r="150" spans="1:29" outlineLevel="1" x14ac:dyDescent="0.15">
      <c r="A150" s="181" t="s">
        <v>107</v>
      </c>
      <c r="B150" s="182"/>
      <c r="C150" s="138"/>
      <c r="D150" s="138"/>
      <c r="E150" s="138"/>
      <c r="F150" s="138"/>
      <c r="G150" s="138"/>
      <c r="H150" s="138"/>
      <c r="I150" s="117"/>
      <c r="J150" s="117"/>
      <c r="K150" s="117"/>
      <c r="L150" s="117"/>
      <c r="P150" s="117"/>
      <c r="Q150" s="117"/>
      <c r="R150" s="117"/>
      <c r="S150" s="117"/>
      <c r="T150" s="117"/>
      <c r="AA150" s="145"/>
      <c r="AB150" s="111"/>
      <c r="AC150" s="185"/>
    </row>
    <row r="151" spans="1:29" ht="15" outlineLevel="1" x14ac:dyDescent="0.15">
      <c r="A151" s="223" t="s">
        <v>275</v>
      </c>
      <c r="B151" s="262"/>
      <c r="C151" s="220">
        <v>48914.9</v>
      </c>
      <c r="D151" s="220">
        <v>51747.4</v>
      </c>
      <c r="E151" s="220">
        <v>50023.7</v>
      </c>
      <c r="F151" s="220">
        <v>51130.9</v>
      </c>
      <c r="G151" s="220">
        <v>53044</v>
      </c>
      <c r="H151" s="220">
        <v>50707.6</v>
      </c>
      <c r="I151" s="220">
        <v>55758.9</v>
      </c>
      <c r="J151" s="220">
        <v>52683.5</v>
      </c>
      <c r="K151" s="220">
        <v>52150.3</v>
      </c>
      <c r="L151" s="220">
        <v>43712.3</v>
      </c>
      <c r="M151" s="139">
        <f>L151+L115</f>
        <v>44966.600000000006</v>
      </c>
      <c r="N151" s="139">
        <f>M151+M115</f>
        <v>46492.661129165281</v>
      </c>
      <c r="O151" s="139">
        <f>N151+N115</f>
        <v>47741.794132123905</v>
      </c>
      <c r="P151" s="139">
        <f>O151+O115</f>
        <v>48887.08291463201</v>
      </c>
      <c r="Q151" s="139">
        <f>P151+P115</f>
        <v>49882.231675261566</v>
      </c>
      <c r="R151" s="117"/>
      <c r="S151" s="117"/>
      <c r="T151" s="117"/>
      <c r="U151" s="75"/>
      <c r="AA151" s="117"/>
      <c r="AB151" s="111"/>
      <c r="AC151" s="185"/>
    </row>
    <row r="152" spans="1:29" outlineLevel="1" x14ac:dyDescent="0.15">
      <c r="A152" s="128" t="s">
        <v>74</v>
      </c>
      <c r="B152" s="159"/>
      <c r="C152" s="138"/>
      <c r="D152" s="138">
        <f t="shared" ref="D152:Q152" si="83">D151/C151-1</f>
        <v>5.7906691008261291E-2</v>
      </c>
      <c r="E152" s="138">
        <f t="shared" si="83"/>
        <v>-3.330988610055774E-2</v>
      </c>
      <c r="F152" s="138">
        <f t="shared" si="83"/>
        <v>2.2133508716868366E-2</v>
      </c>
      <c r="G152" s="138">
        <f t="shared" si="83"/>
        <v>3.7415730996325003E-2</v>
      </c>
      <c r="H152" s="138">
        <f t="shared" si="83"/>
        <v>-4.4046452002111436E-2</v>
      </c>
      <c r="I152" s="138">
        <f t="shared" si="83"/>
        <v>9.9616231097508168E-2</v>
      </c>
      <c r="J152" s="138">
        <f t="shared" si="83"/>
        <v>-5.5155320495920868E-2</v>
      </c>
      <c r="K152" s="138">
        <f t="shared" si="83"/>
        <v>-1.0120815815198303E-2</v>
      </c>
      <c r="L152" s="138">
        <f t="shared" si="83"/>
        <v>-0.16180156202361251</v>
      </c>
      <c r="M152" s="138">
        <f t="shared" si="83"/>
        <v>2.86944406951819E-2</v>
      </c>
      <c r="N152" s="138">
        <f t="shared" si="83"/>
        <v>3.393765882155364E-2</v>
      </c>
      <c r="O152" s="138">
        <f t="shared" si="83"/>
        <v>2.686731567135503E-2</v>
      </c>
      <c r="P152" s="138">
        <f t="shared" si="83"/>
        <v>2.398922795692493E-2</v>
      </c>
      <c r="Q152" s="138">
        <f t="shared" si="83"/>
        <v>2.0356067519252674E-2</v>
      </c>
      <c r="R152" s="111"/>
      <c r="S152" s="111"/>
      <c r="T152" s="111"/>
      <c r="AA152" s="145"/>
    </row>
    <row r="153" spans="1:29" ht="15" outlineLevel="1" x14ac:dyDescent="0.15">
      <c r="A153" s="223" t="s">
        <v>276</v>
      </c>
      <c r="B153" s="262"/>
      <c r="C153" s="220">
        <v>94.1</v>
      </c>
      <c r="D153" s="220">
        <v>102.5</v>
      </c>
      <c r="E153" s="220">
        <v>112.9</v>
      </c>
      <c r="F153" s="220">
        <v>100.4</v>
      </c>
      <c r="G153" s="220">
        <v>77.400000000000006</v>
      </c>
      <c r="H153" s="220">
        <v>94</v>
      </c>
      <c r="I153" s="220">
        <v>84.1</v>
      </c>
      <c r="J153" s="220">
        <v>197</v>
      </c>
      <c r="K153" s="220">
        <v>75</v>
      </c>
      <c r="L153" s="220">
        <v>119.2</v>
      </c>
      <c r="M153" s="139">
        <v>120</v>
      </c>
      <c r="N153" s="139">
        <f>M153</f>
        <v>120</v>
      </c>
      <c r="O153" s="139">
        <f t="shared" ref="O153:Q153" si="84">N153</f>
        <v>120</v>
      </c>
      <c r="P153" s="139">
        <f t="shared" si="84"/>
        <v>120</v>
      </c>
      <c r="Q153" s="139">
        <f t="shared" si="84"/>
        <v>120</v>
      </c>
      <c r="R153" s="117"/>
      <c r="S153" s="117"/>
      <c r="T153" s="117"/>
      <c r="U153" s="75"/>
      <c r="AA153" s="145"/>
      <c r="AB153" s="111"/>
      <c r="AC153" s="185"/>
    </row>
    <row r="154" spans="1:29" outlineLevel="1" x14ac:dyDescent="0.15">
      <c r="A154" s="223"/>
      <c r="B154" s="262"/>
      <c r="C154" s="220"/>
      <c r="D154" s="220"/>
      <c r="E154" s="220"/>
      <c r="F154" s="220"/>
      <c r="G154" s="220"/>
      <c r="H154" s="220"/>
      <c r="I154" s="220"/>
      <c r="J154" s="220"/>
      <c r="K154" s="220"/>
      <c r="L154" s="220"/>
      <c r="P154" s="117"/>
      <c r="Q154" s="117"/>
      <c r="R154" s="117"/>
      <c r="S154" s="117"/>
      <c r="T154" s="117"/>
      <c r="U154" s="75"/>
      <c r="AA154" s="145"/>
      <c r="AB154" s="111"/>
      <c r="AC154" s="185"/>
    </row>
    <row r="155" spans="1:29" ht="15" outlineLevel="1" x14ac:dyDescent="0.15">
      <c r="A155" s="223" t="s">
        <v>281</v>
      </c>
      <c r="B155" s="262"/>
      <c r="C155" s="220">
        <v>1647.8</v>
      </c>
      <c r="D155" s="220">
        <v>1634.7</v>
      </c>
      <c r="E155" s="220">
        <v>1598.4</v>
      </c>
      <c r="F155" s="220">
        <v>1610.8</v>
      </c>
      <c r="G155" s="220">
        <v>1665.7</v>
      </c>
      <c r="H155" s="220">
        <v>1615.5</v>
      </c>
      <c r="I155" s="220">
        <v>1602.9</v>
      </c>
      <c r="J155" s="220">
        <v>1519.3</v>
      </c>
      <c r="K155" s="220">
        <v>1519.9</v>
      </c>
      <c r="L155" s="220">
        <v>1482.1</v>
      </c>
      <c r="M155" s="139">
        <f>M156*M11</f>
        <v>1653.8437696345102</v>
      </c>
      <c r="N155" s="139">
        <f>N156*N11</f>
        <v>1831.0155624000004</v>
      </c>
      <c r="O155" s="139">
        <f>O156*O11</f>
        <v>1677.4410396590656</v>
      </c>
      <c r="P155" s="139">
        <f>P156*P11</f>
        <v>1697.5038159577091</v>
      </c>
      <c r="Q155" s="139">
        <f>Q156*Q11</f>
        <v>1711.0516442425974</v>
      </c>
      <c r="R155" s="117"/>
      <c r="S155" s="117"/>
      <c r="T155" s="117"/>
      <c r="U155" s="75"/>
      <c r="AA155" s="145"/>
      <c r="AB155" s="111"/>
      <c r="AC155" s="185"/>
    </row>
    <row r="156" spans="1:29" ht="15" outlineLevel="1" x14ac:dyDescent="0.15">
      <c r="A156" s="497" t="s">
        <v>529</v>
      </c>
      <c r="B156" s="262"/>
      <c r="C156" s="301">
        <f t="shared" ref="C156:L156" si="85">C155/C11</f>
        <v>0.21611342085590252</v>
      </c>
      <c r="D156" s="301">
        <f t="shared" si="85"/>
        <v>0.20965218283486381</v>
      </c>
      <c r="E156" s="301">
        <f t="shared" si="85"/>
        <v>0.19776304068098585</v>
      </c>
      <c r="F156" s="301">
        <f t="shared" si="85"/>
        <v>0.19273245031527811</v>
      </c>
      <c r="G156" s="301">
        <f t="shared" si="85"/>
        <v>0.19375138127973385</v>
      </c>
      <c r="H156" s="301">
        <f t="shared" si="85"/>
        <v>0.17977765660297571</v>
      </c>
      <c r="I156" s="301">
        <f t="shared" si="85"/>
        <v>0.17114760399760828</v>
      </c>
      <c r="J156" s="301">
        <f t="shared" si="85"/>
        <v>0.16200509698126486</v>
      </c>
      <c r="K156" s="301">
        <f t="shared" si="85"/>
        <v>0.16031009387195444</v>
      </c>
      <c r="L156" s="301">
        <f t="shared" si="85"/>
        <v>0.15401001724962071</v>
      </c>
      <c r="M156" s="299">
        <f>AVERAGE(H156:L156)</f>
        <v>0.16545009374068481</v>
      </c>
      <c r="N156" s="299">
        <v>0.18</v>
      </c>
      <c r="O156" s="299">
        <f t="shared" ref="O156:Q156" si="86">AVERAGE(J156:N156)</f>
        <v>0.16435506036870495</v>
      </c>
      <c r="P156" s="299">
        <f t="shared" si="86"/>
        <v>0.16482505304619299</v>
      </c>
      <c r="Q156" s="299">
        <f t="shared" si="86"/>
        <v>0.1657280448810407</v>
      </c>
      <c r="R156" s="117"/>
      <c r="S156" s="117"/>
      <c r="T156" s="117"/>
      <c r="U156" s="75"/>
      <c r="AA156" s="145"/>
      <c r="AB156" s="111"/>
      <c r="AC156" s="185"/>
    </row>
    <row r="157" spans="1:29" outlineLevel="1" x14ac:dyDescent="0.15">
      <c r="A157" s="223"/>
      <c r="B157" s="262"/>
      <c r="C157" s="220"/>
      <c r="D157" s="220"/>
      <c r="E157" s="220"/>
      <c r="F157" s="220"/>
      <c r="G157" s="220"/>
      <c r="H157" s="220"/>
      <c r="I157" s="220"/>
      <c r="J157" s="220"/>
      <c r="K157" s="220"/>
      <c r="L157" s="220"/>
      <c r="P157" s="117"/>
      <c r="Q157" s="117"/>
      <c r="R157" s="117"/>
      <c r="S157" s="117"/>
      <c r="T157" s="117"/>
      <c r="U157" s="75"/>
      <c r="AA157" s="145"/>
      <c r="AB157" s="111"/>
      <c r="AC157" s="185"/>
    </row>
    <row r="158" spans="1:29" ht="15" outlineLevel="1" x14ac:dyDescent="0.15">
      <c r="A158" s="223" t="s">
        <v>277</v>
      </c>
      <c r="B158" s="262"/>
      <c r="C158" s="220">
        <v>4806.5</v>
      </c>
      <c r="D158" s="220">
        <v>4906.3999999999996</v>
      </c>
      <c r="E158" s="220">
        <v>4725.1000000000004</v>
      </c>
      <c r="F158" s="220">
        <v>4858.8999999999996</v>
      </c>
      <c r="G158" s="220">
        <v>4879.2</v>
      </c>
      <c r="H158" s="220">
        <v>4662.3999999999996</v>
      </c>
      <c r="I158" s="220">
        <v>4780.7</v>
      </c>
      <c r="J158" s="220">
        <v>10666</v>
      </c>
      <c r="K158" s="220">
        <v>10919.3</v>
      </c>
      <c r="L158" s="220">
        <v>9608</v>
      </c>
      <c r="M158" s="139">
        <f>M159*M11</f>
        <v>9996.0280000000002</v>
      </c>
      <c r="N158" s="139">
        <f>N159*N11</f>
        <v>9761.1172666150378</v>
      </c>
      <c r="O158" s="139">
        <f>O159*O11</f>
        <v>9695.8924422599994</v>
      </c>
      <c r="P158" s="139">
        <f>P159*P11</f>
        <v>9680.8923007175199</v>
      </c>
      <c r="Q158" s="139">
        <f>Q159*Q11</f>
        <v>9704.9871477246943</v>
      </c>
      <c r="R158" s="117"/>
      <c r="S158" s="117"/>
      <c r="T158" s="117"/>
      <c r="U158" s="75"/>
      <c r="AA158" s="111"/>
      <c r="AB158" s="111"/>
      <c r="AC158" s="185"/>
    </row>
    <row r="159" spans="1:29" ht="15" outlineLevel="1" x14ac:dyDescent="0.15">
      <c r="A159" s="497" t="s">
        <v>529</v>
      </c>
      <c r="B159" s="262"/>
      <c r="C159" s="301">
        <f t="shared" ref="C159:L159" si="87">C158/C11</f>
        <v>0.63038545778850319</v>
      </c>
      <c r="D159" s="301">
        <f t="shared" si="87"/>
        <v>0.62925152618888824</v>
      </c>
      <c r="E159" s="301">
        <f t="shared" si="87"/>
        <v>0.58461595565673574</v>
      </c>
      <c r="F159" s="301">
        <f t="shared" si="87"/>
        <v>0.58136807973485516</v>
      </c>
      <c r="G159" s="301">
        <f t="shared" si="87"/>
        <v>0.5675402170499354</v>
      </c>
      <c r="H159" s="301">
        <f t="shared" si="87"/>
        <v>0.51884577291594791</v>
      </c>
      <c r="I159" s="301">
        <f t="shared" si="87"/>
        <v>0.51045314768941652</v>
      </c>
      <c r="J159" s="301">
        <f t="shared" si="87"/>
        <v>1.1373305893517875</v>
      </c>
      <c r="K159" s="301">
        <f t="shared" si="87"/>
        <v>1.1517034068136272</v>
      </c>
      <c r="L159" s="301">
        <f t="shared" si="87"/>
        <v>0.99839973398175286</v>
      </c>
      <c r="M159" s="299">
        <v>1</v>
      </c>
      <c r="N159" s="299">
        <f t="shared" ref="N159" si="88">AVERAGE(I159:M159)</f>
        <v>0.95957737556731681</v>
      </c>
      <c r="O159" s="299">
        <v>0.95</v>
      </c>
      <c r="P159" s="299">
        <v>0.94</v>
      </c>
      <c r="Q159" s="299">
        <v>0.94</v>
      </c>
      <c r="R159" s="117"/>
      <c r="S159" s="117"/>
      <c r="T159" s="117"/>
      <c r="U159" s="75"/>
      <c r="AA159" s="111"/>
      <c r="AB159" s="111"/>
      <c r="AC159" s="185"/>
    </row>
    <row r="160" spans="1:29" outlineLevel="1" x14ac:dyDescent="0.15">
      <c r="A160" s="223"/>
      <c r="B160" s="262"/>
      <c r="C160" s="220"/>
      <c r="D160" s="220"/>
      <c r="E160" s="220"/>
      <c r="F160" s="220"/>
      <c r="G160" s="220"/>
      <c r="H160" s="220"/>
      <c r="I160" s="220"/>
      <c r="J160" s="220"/>
      <c r="K160" s="220"/>
      <c r="L160" s="220"/>
      <c r="P160" s="117"/>
      <c r="Q160" s="117"/>
      <c r="R160" s="117"/>
      <c r="S160" s="117"/>
      <c r="T160" s="117"/>
      <c r="U160" s="75"/>
      <c r="AA160" s="111"/>
      <c r="AB160" s="111"/>
      <c r="AC160" s="185"/>
    </row>
    <row r="161" spans="1:46" ht="15" outlineLevel="1" x14ac:dyDescent="0.15">
      <c r="A161" s="223" t="s">
        <v>278</v>
      </c>
      <c r="B161" s="262"/>
      <c r="C161" s="220">
        <v>700.2</v>
      </c>
      <c r="D161" s="220">
        <v>696.1</v>
      </c>
      <c r="E161" s="220">
        <v>702.8</v>
      </c>
      <c r="F161" s="220">
        <v>693.3</v>
      </c>
      <c r="G161" s="220">
        <v>690.1</v>
      </c>
      <c r="H161" s="220">
        <v>690.6</v>
      </c>
      <c r="I161" s="220">
        <v>693</v>
      </c>
      <c r="J161" s="220">
        <v>611.4</v>
      </c>
      <c r="K161" s="220">
        <v>602.70000000000005</v>
      </c>
      <c r="L161" s="220">
        <v>615</v>
      </c>
      <c r="M161" s="139">
        <f>M22</f>
        <v>2166.9448393244011</v>
      </c>
      <c r="N161" s="139">
        <f>N22</f>
        <v>2231.6477341999334</v>
      </c>
      <c r="O161" s="139">
        <f>O22</f>
        <v>2291.6061183419474</v>
      </c>
      <c r="P161" s="139">
        <f>P22</f>
        <v>2346.5799799023366</v>
      </c>
      <c r="Q161" s="139">
        <f>Q22</f>
        <v>2394.3471204125553</v>
      </c>
      <c r="R161" s="117"/>
      <c r="S161" s="117"/>
      <c r="T161" s="117"/>
      <c r="U161" s="75"/>
      <c r="V161" s="119" t="s">
        <v>78</v>
      </c>
      <c r="W161" s="119" t="s">
        <v>112</v>
      </c>
      <c r="X161" s="117" t="str" cm="1">
        <f t="array" ref="X161">_xll.FDSC("--",$A$1,""&amp;$V161&amp;"("&amp;$W161&amp;","&amp;D$2&amp;",ANNUAL_ROLL,+1,0,,,'CURRENCY="&amp;$E$1&amp;"')")</f>
        <v>--</v>
      </c>
      <c r="Y161" s="117" t="str" cm="1">
        <f t="array" ref="Y161">_xll.FDSC("--",$A$1,""&amp;$V161&amp;"("&amp;$W161&amp;","&amp;D$2&amp;",ANNUAL_ROLL,+2,0,,,'CURRENCY="&amp;$E$1&amp;"')")</f>
        <v>--</v>
      </c>
      <c r="Z161" s="117" t="str" cm="1">
        <f t="array" ref="Z161">_xll.FDSC("--",$A$1,""&amp;$V161&amp;"("&amp;$W161&amp;","&amp;D$2&amp;",ANNUAL_ROLL,+3,0,,,'CURRENCY="&amp;$E$1&amp;"')")</f>
        <v>--</v>
      </c>
      <c r="AA161" s="117"/>
      <c r="AB161" s="111"/>
      <c r="AC161" s="185"/>
    </row>
    <row r="162" spans="1:46" ht="15" outlineLevel="1" x14ac:dyDescent="0.15">
      <c r="A162" s="497" t="s">
        <v>530</v>
      </c>
      <c r="B162" s="262"/>
      <c r="C162" s="301">
        <f t="shared" ref="C162:L162" si="89">C161/C22</f>
        <v>0.27846490355935577</v>
      </c>
      <c r="D162" s="301">
        <f t="shared" si="89"/>
        <v>0.27603299230708228</v>
      </c>
      <c r="E162" s="301">
        <f t="shared" si="89"/>
        <v>0.28455745404486193</v>
      </c>
      <c r="F162" s="301">
        <f t="shared" si="89"/>
        <v>0.27580856904165174</v>
      </c>
      <c r="G162" s="301">
        <f t="shared" si="89"/>
        <v>0.27602895884164635</v>
      </c>
      <c r="H162" s="301">
        <f t="shared" si="89"/>
        <v>0.28399884854217217</v>
      </c>
      <c r="I162" s="301">
        <f t="shared" si="89"/>
        <v>0.28431935669155656</v>
      </c>
      <c r="J162" s="301">
        <f t="shared" si="89"/>
        <v>0.17175122197876286</v>
      </c>
      <c r="K162" s="301">
        <f t="shared" si="89"/>
        <v>0.26319926634350849</v>
      </c>
      <c r="L162" s="301">
        <f t="shared" si="89"/>
        <v>0.29195347733206739</v>
      </c>
      <c r="M162" s="299">
        <f>AVERAGE(H162:L162)</f>
        <v>0.25904443417761353</v>
      </c>
      <c r="N162" s="299">
        <v>0.26</v>
      </c>
      <c r="O162" s="299">
        <f>N162</f>
        <v>0.26</v>
      </c>
      <c r="P162" s="299">
        <f t="shared" ref="P162:Q162" si="90">AVERAGE(L162:O162)</f>
        <v>0.26774947787742021</v>
      </c>
      <c r="Q162" s="299">
        <f t="shared" si="90"/>
        <v>0.26169847801375845</v>
      </c>
      <c r="R162" s="117"/>
      <c r="S162" s="117"/>
      <c r="T162" s="117"/>
      <c r="U162" s="75"/>
      <c r="V162" s="119"/>
      <c r="W162" s="119"/>
      <c r="X162" s="117"/>
      <c r="Y162" s="117"/>
      <c r="Z162" s="117"/>
      <c r="AA162" s="117"/>
      <c r="AB162" s="111"/>
      <c r="AC162" s="185"/>
    </row>
    <row r="163" spans="1:46" outlineLevel="1" x14ac:dyDescent="0.15">
      <c r="A163" s="223"/>
      <c r="B163" s="262"/>
      <c r="C163" s="220"/>
      <c r="D163" s="220"/>
      <c r="E163" s="220"/>
      <c r="F163" s="220"/>
      <c r="G163" s="220"/>
      <c r="H163" s="220"/>
      <c r="I163" s="220"/>
      <c r="J163" s="220"/>
      <c r="K163" s="220"/>
      <c r="L163" s="220"/>
      <c r="P163" s="117"/>
      <c r="Q163" s="117"/>
      <c r="R163" s="117"/>
      <c r="S163" s="117"/>
      <c r="T163" s="117"/>
      <c r="U163" s="75"/>
      <c r="W163" s="77"/>
      <c r="X163" s="111"/>
      <c r="Y163" s="111"/>
      <c r="Z163" s="111"/>
      <c r="AA163" s="117"/>
      <c r="AB163" s="111"/>
      <c r="AC163" s="185"/>
    </row>
    <row r="164" spans="1:46" ht="15" outlineLevel="1" x14ac:dyDescent="0.15">
      <c r="A164" s="223" t="s">
        <v>279</v>
      </c>
      <c r="B164" s="262"/>
      <c r="C164" s="220">
        <v>1829.2</v>
      </c>
      <c r="D164" s="220">
        <v>1901.3</v>
      </c>
      <c r="E164" s="220">
        <v>2008.5</v>
      </c>
      <c r="F164" s="220">
        <v>2094.1999999999998</v>
      </c>
      <c r="G164" s="220">
        <v>2184.6</v>
      </c>
      <c r="H164" s="220">
        <v>2309.4</v>
      </c>
      <c r="I164" s="220">
        <v>2324</v>
      </c>
      <c r="J164" s="220">
        <v>2272.6</v>
      </c>
      <c r="K164" s="220">
        <v>2207.9</v>
      </c>
      <c r="L164" s="220">
        <v>2560</v>
      </c>
      <c r="M164" s="139">
        <f>M165*M11</f>
        <v>2491.738121831776</v>
      </c>
      <c r="N164" s="139">
        <f>N165*N11</f>
        <v>2519.9657307194334</v>
      </c>
      <c r="O164" s="139">
        <f>O165*O11</f>
        <v>2527.5168522955814</v>
      </c>
      <c r="P164" s="139">
        <f>P165*P11</f>
        <v>2561.4004172789241</v>
      </c>
      <c r="Q164" s="139">
        <f>Q165*Q11</f>
        <v>2600.4665026835009</v>
      </c>
      <c r="R164" s="117"/>
      <c r="S164" s="117"/>
      <c r="T164" s="117"/>
      <c r="U164" s="75"/>
      <c r="W164" s="77"/>
      <c r="X164" s="111"/>
      <c r="Y164" s="111"/>
      <c r="Z164" s="111"/>
      <c r="AA164" s="117"/>
      <c r="AB164" s="111"/>
      <c r="AC164" s="185"/>
    </row>
    <row r="165" spans="1:46" ht="15" outlineLevel="1" x14ac:dyDescent="0.15">
      <c r="A165" s="497" t="s">
        <v>529</v>
      </c>
      <c r="B165" s="262"/>
      <c r="C165" s="301">
        <f t="shared" ref="C165:L165" si="91">C164/C11</f>
        <v>0.23990452083360658</v>
      </c>
      <c r="D165" s="301">
        <f t="shared" si="91"/>
        <v>0.2438439439798902</v>
      </c>
      <c r="E165" s="301">
        <f t="shared" si="91"/>
        <v>0.24850291992477483</v>
      </c>
      <c r="F165" s="301">
        <f t="shared" si="91"/>
        <v>0.25057132943273863</v>
      </c>
      <c r="G165" s="301">
        <f t="shared" si="91"/>
        <v>0.25410894371357784</v>
      </c>
      <c r="H165" s="301">
        <f t="shared" si="91"/>
        <v>0.25699691746141262</v>
      </c>
      <c r="I165" s="301">
        <f t="shared" si="91"/>
        <v>0.24814213718288203</v>
      </c>
      <c r="J165" s="301">
        <f t="shared" si="91"/>
        <v>0.24233053603608404</v>
      </c>
      <c r="K165" s="301">
        <f t="shared" si="91"/>
        <v>0.23287627887353657</v>
      </c>
      <c r="L165" s="301">
        <f t="shared" si="91"/>
        <v>0.26601824718914313</v>
      </c>
      <c r="M165" s="299">
        <f>AVERAGE(H165:L165)</f>
        <v>0.24927282334861167</v>
      </c>
      <c r="N165" s="299">
        <f t="shared" ref="N165:Q165" si="92">AVERAGE(I165:M165)</f>
        <v>0.24772800452605148</v>
      </c>
      <c r="O165" s="299">
        <f t="shared" si="92"/>
        <v>0.24764517799468538</v>
      </c>
      <c r="P165" s="299">
        <f t="shared" si="92"/>
        <v>0.24870810638640567</v>
      </c>
      <c r="Q165" s="299">
        <f t="shared" si="92"/>
        <v>0.25187447188897949</v>
      </c>
      <c r="R165" s="117"/>
      <c r="S165" s="117"/>
      <c r="T165" s="117"/>
      <c r="U165" s="75"/>
      <c r="V165" s="188"/>
      <c r="W165" s="188"/>
      <c r="X165" s="189"/>
      <c r="Y165" s="189"/>
      <c r="Z165" s="189"/>
      <c r="AA165" s="111"/>
      <c r="AB165" s="111"/>
      <c r="AC165" s="185"/>
    </row>
    <row r="166" spans="1:46" outlineLevel="1" x14ac:dyDescent="0.15">
      <c r="A166" s="223"/>
      <c r="B166" s="262"/>
      <c r="C166" s="220"/>
      <c r="D166" s="220"/>
      <c r="E166" s="220"/>
      <c r="F166" s="220"/>
      <c r="G166" s="220"/>
      <c r="H166" s="220"/>
      <c r="I166" s="220"/>
      <c r="J166" s="220"/>
      <c r="K166" s="220"/>
      <c r="L166" s="220"/>
      <c r="M166" s="139"/>
      <c r="N166" s="139"/>
      <c r="O166" s="139"/>
      <c r="P166" s="139"/>
      <c r="Q166" s="139"/>
      <c r="R166" s="117"/>
      <c r="S166" s="117"/>
      <c r="T166" s="117"/>
      <c r="U166" s="75"/>
      <c r="V166" s="119"/>
      <c r="W166" s="119"/>
      <c r="X166" s="117"/>
      <c r="Y166" s="117"/>
      <c r="Z166" s="117"/>
      <c r="AA166" s="117"/>
      <c r="AB166" s="111"/>
      <c r="AC166" s="185"/>
    </row>
    <row r="167" spans="1:46" outlineLevel="1" x14ac:dyDescent="0.15">
      <c r="A167" s="263" t="s">
        <v>114</v>
      </c>
      <c r="B167" s="140">
        <f>CHOOSE(IF($B$1=2,2,1),'GAAP-IFRS'!E33,IF('Broker Actual'!E33="-",'GAAP-IFRS'!E33,'Broker Actual'!E33))</f>
        <v>501.6</v>
      </c>
      <c r="C167" s="140">
        <f>CHOOSE(IF($B$1=2,2,1),'GAAP-IFRS'!F33,IF('Broker Actual'!F33="-",'GAAP-IFRS'!F33,'Broker Actual'!F33))</f>
        <v>511.9</v>
      </c>
      <c r="D167" s="140">
        <f>CHOOSE(IF($B$1=2,2,1),'GAAP-IFRS'!G33,IF('Broker Actual'!G33="-",'GAAP-IFRS'!G33,'Broker Actual'!G33))</f>
        <v>531.70000000000005</v>
      </c>
      <c r="E167" s="140">
        <f>CHOOSE(IF($B$1=2,2,1),'GAAP-IFRS'!H33,IF('Broker Actual'!H33="-",'GAAP-IFRS'!H33,'Broker Actual'!H33))</f>
        <v>523.9</v>
      </c>
      <c r="F167" s="140">
        <f>CHOOSE(IF($B$1=2,2,1),'GAAP-IFRS'!I33,IF('Broker Actual'!I33="-",'GAAP-IFRS'!I33,'Broker Actual'!I33))</f>
        <v>500.6</v>
      </c>
      <c r="G167" s="140">
        <f>CHOOSE(IF($B$1=2,2,1),'GAAP-IFRS'!J33,IF('Broker Actual'!J33="-",'GAAP-IFRS'!J33,'Broker Actual'!J33))</f>
        <v>504.8</v>
      </c>
      <c r="H167" s="140">
        <f>CHOOSE(IF($B$1=2,2,1),'GAAP-IFRS'!K33,IF('Broker Actual'!K33="-",'GAAP-IFRS'!K33,'Broker Actual'!K33))</f>
        <v>546.9</v>
      </c>
      <c r="I167" s="140">
        <f>CHOOSE(IF($B$1=2,2,1),'GAAP-IFRS'!L33,IF('Broker Actual'!L33="-",'GAAP-IFRS'!L33,'Broker Actual'!L33))</f>
        <v>642.70000000000005</v>
      </c>
      <c r="J167" s="140">
        <f>CHOOSE(IF($B$1=2,2,1),'GAAP-IFRS'!M33,IF('Broker Actual'!M33="-",'GAAP-IFRS'!M33,'Broker Actual'!M33))</f>
        <v>580.9</v>
      </c>
      <c r="K167" s="140">
        <f>CHOOSE(IF($B$1=2,2,1),'GAAP-IFRS'!N33,IF('Broker Actual'!N33="-",'GAAP-IFRS'!N33,'Broker Actual'!N33))</f>
        <v>511.8</v>
      </c>
      <c r="L167" s="140">
        <f>CHOOSE(IF($B$1=2,2,1),'GAAP-IFRS'!O33,IF('Broker Actual'!O33="-",'GAAP-IFRS'!O33,'Broker Actual'!O33))</f>
        <v>489.4</v>
      </c>
      <c r="M167" s="434">
        <f>AVERAGE(H167:L167)</f>
        <v>554.34</v>
      </c>
      <c r="N167" s="434">
        <f t="shared" ref="N167:Q168" si="93">AVERAGE(I167:M167)</f>
        <v>555.82799999999997</v>
      </c>
      <c r="O167" s="434">
        <f t="shared" si="93"/>
        <v>538.45360000000005</v>
      </c>
      <c r="P167" s="434">
        <f t="shared" si="93"/>
        <v>529.96432000000004</v>
      </c>
      <c r="Q167" s="434">
        <f t="shared" si="93"/>
        <v>533.59718399999997</v>
      </c>
      <c r="R167" s="117"/>
      <c r="S167" s="117"/>
      <c r="T167" s="117"/>
      <c r="U167" s="130"/>
      <c r="V167" s="119"/>
      <c r="W167" s="119"/>
      <c r="X167" s="117"/>
      <c r="Y167" s="117"/>
      <c r="Z167" s="117"/>
      <c r="AB167" s="117"/>
      <c r="AC167" s="120"/>
    </row>
    <row r="168" spans="1:46" outlineLevel="1" x14ac:dyDescent="0.15">
      <c r="A168" s="263" t="s">
        <v>282</v>
      </c>
      <c r="B168" s="140"/>
      <c r="C168" s="140">
        <f>CHOOSE(IF($B$1=2,2,1),'GAAP-IFRS'!F34,IF('Broker Actual'!F34="-",'GAAP-IFRS'!F34,'Broker Actual'!F34))</f>
        <v>200.9</v>
      </c>
      <c r="D168" s="140">
        <f>CHOOSE(IF($B$1=2,2,1),'GAAP-IFRS'!G34,IF('Broker Actual'!G34="-",'GAAP-IFRS'!G34,'Broker Actual'!G34))</f>
        <v>198.7</v>
      </c>
      <c r="E168" s="140">
        <f>CHOOSE(IF($B$1=2,2,1),'GAAP-IFRS'!H34,IF('Broker Actual'!H34="-",'GAAP-IFRS'!H34,'Broker Actual'!H34))</f>
        <v>230.9</v>
      </c>
      <c r="F168" s="140">
        <f>CHOOSE(IF($B$1=2,2,1),'GAAP-IFRS'!I34,IF('Broker Actual'!I34="-",'GAAP-IFRS'!I34,'Broker Actual'!I34))</f>
        <v>335.1</v>
      </c>
      <c r="G168" s="140">
        <f>CHOOSE(IF($B$1=2,2,1),'GAAP-IFRS'!J34,IF('Broker Actual'!J34="-",'GAAP-IFRS'!J34,'Broker Actual'!J34))</f>
        <v>338.6</v>
      </c>
      <c r="H168" s="140">
        <f>CHOOSE(IF($B$1=2,2,1),'GAAP-IFRS'!K34,IF('Broker Actual'!K34="-",'GAAP-IFRS'!K34,'Broker Actual'!K34))</f>
        <v>350.3</v>
      </c>
      <c r="I168" s="140">
        <f>CHOOSE(IF($B$1=2,2,1),'GAAP-IFRS'!L34,IF('Broker Actual'!L34="-",'GAAP-IFRS'!L34,'Broker Actual'!L34))</f>
        <v>351.7</v>
      </c>
      <c r="J168" s="140">
        <f>CHOOSE(IF($B$1=2,2,1),'GAAP-IFRS'!M34,IF('Broker Actual'!M34="-",'GAAP-IFRS'!M34,'Broker Actual'!M34))</f>
        <v>353</v>
      </c>
      <c r="K168" s="140">
        <f>CHOOSE(IF($B$1=2,2,1),'GAAP-IFRS'!N34,IF('Broker Actual'!N34="-",'GAAP-IFRS'!N34,'Broker Actual'!N34))</f>
        <v>352.2</v>
      </c>
      <c r="L168" s="140">
        <f>CHOOSE(IF($B$1=2,2,1),'GAAP-IFRS'!O34,IF('Broker Actual'!O34="-",'GAAP-IFRS'!O34,'Broker Actual'!O34))</f>
        <v>347.6</v>
      </c>
      <c r="M168" s="434">
        <f>AVERAGE(H168:L168)</f>
        <v>350.96000000000004</v>
      </c>
      <c r="N168" s="434">
        <f t="shared" si="93"/>
        <v>351.09199999999998</v>
      </c>
      <c r="O168" s="434">
        <f t="shared" si="93"/>
        <v>350.97040000000004</v>
      </c>
      <c r="P168" s="434">
        <f t="shared" si="93"/>
        <v>350.56448</v>
      </c>
      <c r="Q168" s="434">
        <f t="shared" si="93"/>
        <v>350.23737600000004</v>
      </c>
      <c r="R168" s="117"/>
      <c r="S168" s="117"/>
      <c r="T168" s="117"/>
      <c r="U168" s="130"/>
      <c r="V168" s="169"/>
      <c r="W168" s="169"/>
      <c r="X168" s="159"/>
      <c r="Y168" s="159"/>
      <c r="Z168" s="159"/>
      <c r="AA168" s="117"/>
      <c r="AB168" s="117"/>
      <c r="AC168" s="120"/>
    </row>
    <row r="169" spans="1:46" ht="15" outlineLevel="1" x14ac:dyDescent="0.15">
      <c r="A169" s="223" t="s">
        <v>280</v>
      </c>
      <c r="B169" s="262"/>
      <c r="C169" s="220">
        <v>698.09999999999991</v>
      </c>
      <c r="D169" s="220">
        <v>731.4</v>
      </c>
      <c r="E169" s="220">
        <v>637.4</v>
      </c>
      <c r="F169" s="220">
        <v>617.29999999999995</v>
      </c>
      <c r="G169" s="220">
        <v>628.70000000000005</v>
      </c>
      <c r="H169" s="220">
        <v>898.9</v>
      </c>
      <c r="I169" s="220">
        <v>884</v>
      </c>
      <c r="J169" s="220">
        <v>1825</v>
      </c>
      <c r="K169" s="220">
        <v>1825.6</v>
      </c>
      <c r="L169" s="220">
        <v>2252.6</v>
      </c>
      <c r="M169" s="434">
        <v>2442.52</v>
      </c>
      <c r="N169" s="434">
        <v>2571.8040000000001</v>
      </c>
      <c r="O169" s="434">
        <v>2710.4848000000002</v>
      </c>
      <c r="P169" s="434">
        <v>2700.8017599999998</v>
      </c>
      <c r="Q169" s="434">
        <v>2703.0421120000001</v>
      </c>
      <c r="R169" s="117"/>
      <c r="S169" s="117"/>
      <c r="T169" s="117"/>
      <c r="U169" s="75"/>
      <c r="AA169" s="145"/>
      <c r="AB169" s="111"/>
      <c r="AC169" s="185"/>
    </row>
    <row r="170" spans="1:46" outlineLevel="1" x14ac:dyDescent="0.15">
      <c r="A170" s="128" t="s">
        <v>74</v>
      </c>
      <c r="B170" s="159"/>
      <c r="C170" s="138"/>
      <c r="D170" s="138">
        <f t="shared" ref="D170:Q170" si="94">D169/C169-1</f>
        <v>4.7700902449505866E-2</v>
      </c>
      <c r="E170" s="138">
        <f t="shared" si="94"/>
        <v>-0.12852064533770846</v>
      </c>
      <c r="F170" s="138">
        <f t="shared" si="94"/>
        <v>-3.1534358330718604E-2</v>
      </c>
      <c r="G170" s="138">
        <f t="shared" si="94"/>
        <v>1.8467519844484137E-2</v>
      </c>
      <c r="H170" s="138">
        <f t="shared" si="94"/>
        <v>0.42977572769206285</v>
      </c>
      <c r="I170" s="138">
        <f t="shared" si="94"/>
        <v>-1.6575814884859263E-2</v>
      </c>
      <c r="J170" s="138">
        <f t="shared" si="94"/>
        <v>1.06447963800905</v>
      </c>
      <c r="K170" s="138">
        <f t="shared" si="94"/>
        <v>3.2876712328766544E-4</v>
      </c>
      <c r="L170" s="138">
        <f t="shared" si="94"/>
        <v>0.23389570552147232</v>
      </c>
      <c r="M170" s="138">
        <f t="shared" si="94"/>
        <v>8.4311462310219243E-2</v>
      </c>
      <c r="N170" s="138">
        <f t="shared" si="94"/>
        <v>5.2930579892897622E-2</v>
      </c>
      <c r="O170" s="138">
        <f t="shared" si="94"/>
        <v>5.3923549384012226E-2</v>
      </c>
      <c r="P170" s="138">
        <f t="shared" si="94"/>
        <v>-3.5724384065907167E-3</v>
      </c>
      <c r="Q170" s="138">
        <f t="shared" si="94"/>
        <v>8.2951367744965587E-4</v>
      </c>
      <c r="R170" s="111"/>
      <c r="S170" s="111"/>
      <c r="T170" s="111"/>
      <c r="AA170" s="145"/>
    </row>
    <row r="171" spans="1:46" outlineLevel="1" x14ac:dyDescent="0.15">
      <c r="A171" s="218"/>
      <c r="B171" s="182"/>
      <c r="C171" s="219"/>
      <c r="D171" s="219"/>
      <c r="E171" s="219"/>
      <c r="F171" s="219"/>
      <c r="G171" s="219"/>
      <c r="H171" s="219"/>
      <c r="I171" s="219"/>
      <c r="J171" s="219"/>
      <c r="K171" s="219"/>
      <c r="L171" s="219"/>
      <c r="M171" s="139"/>
      <c r="N171" s="139"/>
      <c r="O171" s="139"/>
      <c r="P171" s="139"/>
      <c r="Q171" s="139"/>
      <c r="R171" s="117"/>
      <c r="S171" s="117"/>
      <c r="T171" s="117"/>
      <c r="U171" s="75"/>
      <c r="V171" s="119" t="s">
        <v>78</v>
      </c>
      <c r="W171" s="119" t="s">
        <v>122</v>
      </c>
      <c r="X171" s="117" t="str" cm="1">
        <f t="array" ref="X171">_xll.FDSC("--",$A$1,""&amp;$V171&amp;"("&amp;$W171&amp;","&amp;D$2&amp;",ANNUAL_ROLL,+1,0,,,'CURRENCY="&amp;$E$1&amp;"')")</f>
        <v>--</v>
      </c>
      <c r="Y171" s="117" t="str" cm="1">
        <f t="array" ref="Y171">_xll.FDSC("--",$A$1,""&amp;$V171&amp;"("&amp;$W171&amp;","&amp;D$2&amp;",ANNUAL_ROLL,+2,0,,,'CURRENCY="&amp;$E$1&amp;"')")</f>
        <v>--</v>
      </c>
      <c r="Z171" s="117" t="str" cm="1">
        <f t="array" ref="Z171">_xll.FDSC("--",$A$1,""&amp;$V171&amp;"("&amp;$W171&amp;","&amp;D$2&amp;",ANNUAL_ROLL,+3,0,,,'CURRENCY="&amp;$E$1&amp;"')")</f>
        <v>--</v>
      </c>
      <c r="AA171" s="117"/>
      <c r="AB171" s="111"/>
      <c r="AC171" s="185"/>
    </row>
    <row r="172" spans="1:46" s="92" customFormat="1" x14ac:dyDescent="0.15">
      <c r="A172" s="183" t="s">
        <v>113</v>
      </c>
      <c r="B172" s="140">
        <f>CHOOSE(IF($B$1=2,2,1),'GAAP-IFRS'!E32,IF('Broker Actual'!E32="-",'GAAP-IFRS'!E32,'Broker Actual'!E32))</f>
        <v>4841.8999999999996</v>
      </c>
      <c r="C172" s="140">
        <f>CHOOSE(IF($B$1=2,2,1),'GAAP-IFRS'!F32,IF('Broker Actual'!F32="-",'GAAP-IFRS'!F32,'Broker Actual'!F32))</f>
        <v>4330.3</v>
      </c>
      <c r="D172" s="140">
        <f>CHOOSE(IF($B$1=2,2,1),'GAAP-IFRS'!G32,IF('Broker Actual'!G32="-",'GAAP-IFRS'!G32,'Broker Actual'!G32))</f>
        <v>4883.3999999999996</v>
      </c>
      <c r="E172" s="140">
        <f>CHOOSE(IF($B$1=2,2,1),'GAAP-IFRS'!H32,IF('Broker Actual'!H32="-",'GAAP-IFRS'!H32,'Broker Actual'!H32))</f>
        <v>4354</v>
      </c>
      <c r="F172" s="140">
        <f>CHOOSE(IF($B$1=2,2,1),'GAAP-IFRS'!I32,IF('Broker Actual'!I32="-",'GAAP-IFRS'!I32,'Broker Actual'!I32))</f>
        <v>4551.8999999999996</v>
      </c>
      <c r="G172" s="140">
        <f>CHOOSE(IF($B$1=2,2,1),'GAAP-IFRS'!J32,IF('Broker Actual'!J32="-",'GAAP-IFRS'!J32,'Broker Actual'!J32))</f>
        <v>5241.2</v>
      </c>
      <c r="H172" s="140">
        <f>CHOOSE(IF($B$1=2,2,1),'GAAP-IFRS'!K32,IF('Broker Actual'!K32="-",'GAAP-IFRS'!K32,'Broker Actual'!K32))</f>
        <v>4447.6000000000004</v>
      </c>
      <c r="I172" s="140">
        <f>CHOOSE(IF($B$1=2,2,1),'GAAP-IFRS'!L32,IF('Broker Actual'!L32="-",'GAAP-IFRS'!L32,'Broker Actual'!L32))</f>
        <v>4510.3</v>
      </c>
      <c r="J172" s="140">
        <f>CHOOSE(IF($B$1=2,2,1),'GAAP-IFRS'!M32,IF('Broker Actual'!M32="-",'GAAP-IFRS'!M32,'Broker Actual'!M32))</f>
        <v>4768.8</v>
      </c>
      <c r="K172" s="140">
        <f>CHOOSE(IF($B$1=2,2,1),'GAAP-IFRS'!N32,IF('Broker Actual'!N32="-",'GAAP-IFRS'!N32,'Broker Actual'!N32))</f>
        <v>4370.5</v>
      </c>
      <c r="L172" s="140">
        <f>CHOOSE(IF($B$1=2,2,1),'GAAP-IFRS'!O32,IF('Broker Actual'!O32="-",'GAAP-IFRS'!O32,'Broker Actual'!O32))</f>
        <v>4741.8</v>
      </c>
      <c r="M172" s="302">
        <f>M173*M176</f>
        <v>5006.0823913173035</v>
      </c>
      <c r="N172" s="302">
        <f t="shared" ref="N172:Q172" si="95">N173*N176</f>
        <v>4584.6587338770369</v>
      </c>
      <c r="O172" s="302">
        <f t="shared" si="95"/>
        <v>4713.3326548150599</v>
      </c>
      <c r="P172" s="302">
        <f t="shared" si="95"/>
        <v>4851.6684883232529</v>
      </c>
      <c r="Q172" s="302">
        <f t="shared" si="95"/>
        <v>5066.7711958651362</v>
      </c>
      <c r="R172" s="114"/>
      <c r="S172" s="114"/>
      <c r="T172" s="114"/>
      <c r="U172" s="264"/>
      <c r="V172" s="119"/>
      <c r="W172" s="119"/>
      <c r="X172" s="117"/>
      <c r="Y172" s="117"/>
      <c r="Z172" s="117"/>
      <c r="AA172" s="117"/>
      <c r="AB172" s="189"/>
      <c r="AC172" s="190"/>
      <c r="AJ172" s="78"/>
      <c r="AK172" s="78"/>
      <c r="AL172" s="78"/>
      <c r="AM172" s="78"/>
      <c r="AN172" s="78"/>
      <c r="AO172" s="78"/>
      <c r="AP172" s="78"/>
      <c r="AQ172" s="78"/>
      <c r="AR172" s="78"/>
      <c r="AS172" s="78"/>
      <c r="AT172" s="78"/>
    </row>
    <row r="173" spans="1:46" s="92" customFormat="1" x14ac:dyDescent="0.15">
      <c r="A173" s="184" t="s">
        <v>528</v>
      </c>
      <c r="B173" s="140"/>
      <c r="C173" s="300">
        <f>C172/C176</f>
        <v>7.3765744403220257E-2</v>
      </c>
      <c r="D173" s="300">
        <f t="shared" ref="D173:L173" si="96">D172/D176</f>
        <v>7.9078150276661791E-2</v>
      </c>
      <c r="E173" s="300">
        <f t="shared" si="96"/>
        <v>7.2735412824419324E-2</v>
      </c>
      <c r="F173" s="300">
        <f t="shared" si="96"/>
        <v>7.4318918760061511E-2</v>
      </c>
      <c r="G173" s="300">
        <f t="shared" si="96"/>
        <v>8.2769293937431904E-2</v>
      </c>
      <c r="H173" s="300">
        <f t="shared" si="96"/>
        <v>7.2691019040614535E-2</v>
      </c>
      <c r="I173" s="300">
        <f t="shared" si="96"/>
        <v>6.7896551205045994E-2</v>
      </c>
      <c r="J173" s="300">
        <f t="shared" si="96"/>
        <v>6.8031150985843961E-2</v>
      </c>
      <c r="K173" s="300">
        <f t="shared" si="96"/>
        <v>6.2828843334004195E-2</v>
      </c>
      <c r="L173" s="300">
        <f t="shared" si="96"/>
        <v>7.8284729376337278E-2</v>
      </c>
      <c r="M173" s="123">
        <v>0.08</v>
      </c>
      <c r="N173" s="123">
        <f t="shared" ref="N173:Q173" si="97">AVERAGE(I173:M173)</f>
        <v>7.1408254980246291E-2</v>
      </c>
      <c r="O173" s="123">
        <f t="shared" si="97"/>
        <v>7.2110595735286345E-2</v>
      </c>
      <c r="P173" s="123">
        <f t="shared" si="97"/>
        <v>7.2926484685174819E-2</v>
      </c>
      <c r="Q173" s="123">
        <f t="shared" si="97"/>
        <v>7.4946012955408953E-2</v>
      </c>
      <c r="R173" s="114"/>
      <c r="S173" s="114"/>
      <c r="T173" s="114"/>
      <c r="U173" s="264"/>
      <c r="V173" s="119"/>
      <c r="W173" s="119"/>
      <c r="X173" s="117"/>
      <c r="Y173" s="117"/>
      <c r="Z173" s="117"/>
      <c r="AA173" s="117"/>
      <c r="AB173" s="189"/>
      <c r="AC173" s="190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</row>
    <row r="174" spans="1:46" s="92" customFormat="1" x14ac:dyDescent="0.15">
      <c r="A174" s="183"/>
      <c r="B174" s="140"/>
      <c r="C174" s="140"/>
      <c r="D174" s="140"/>
      <c r="E174" s="140"/>
      <c r="F174" s="140"/>
      <c r="G174" s="140"/>
      <c r="H174" s="140"/>
      <c r="I174" s="140"/>
      <c r="J174" s="140"/>
      <c r="K174" s="140"/>
      <c r="L174" s="140"/>
      <c r="M174" s="75"/>
      <c r="N174" s="75"/>
      <c r="O174" s="75"/>
      <c r="P174" s="75"/>
      <c r="Q174" s="75"/>
      <c r="R174" s="114"/>
      <c r="S174" s="114"/>
      <c r="T174" s="114"/>
      <c r="U174" s="264"/>
      <c r="V174" s="147"/>
      <c r="W174" s="147"/>
      <c r="X174" s="145"/>
      <c r="Y174" s="145"/>
      <c r="Z174" s="145"/>
      <c r="AA174" s="117"/>
      <c r="AB174" s="189"/>
      <c r="AC174" s="190"/>
      <c r="AJ174" s="78"/>
      <c r="AK174" s="78"/>
      <c r="AL174" s="78"/>
      <c r="AM174" s="78"/>
      <c r="AN174" s="78"/>
      <c r="AO174" s="78"/>
      <c r="AP174" s="78"/>
      <c r="AQ174" s="78"/>
      <c r="AR174" s="78"/>
      <c r="AS174" s="78"/>
      <c r="AT174" s="78"/>
    </row>
    <row r="175" spans="1:46" outlineLevel="1" x14ac:dyDescent="0.15">
      <c r="A175" s="218"/>
      <c r="B175" s="182"/>
      <c r="C175" s="219"/>
      <c r="D175" s="219"/>
      <c r="E175" s="219"/>
      <c r="F175" s="219"/>
      <c r="G175" s="219"/>
      <c r="H175" s="219"/>
      <c r="I175" s="219"/>
      <c r="J175" s="219"/>
      <c r="K175" s="219"/>
      <c r="L175" s="219"/>
      <c r="R175" s="117"/>
      <c r="S175" s="117"/>
      <c r="T175" s="117"/>
      <c r="V175" s="147"/>
      <c r="W175" s="147"/>
      <c r="X175" s="145"/>
      <c r="Y175" s="145"/>
      <c r="Z175" s="145"/>
      <c r="AA175" s="117"/>
      <c r="AB175" s="111"/>
      <c r="AC175" s="185"/>
    </row>
    <row r="176" spans="1:46" x14ac:dyDescent="0.15">
      <c r="A176" s="78" t="s">
        <v>283</v>
      </c>
      <c r="B176" s="138"/>
      <c r="C176" s="139">
        <f t="shared" ref="C176" si="98">C169+C168+C167+C164+C151+C155+C153+C158</f>
        <v>58703.4</v>
      </c>
      <c r="D176" s="139">
        <f>D169+D168+D167+D164+D151+D155+D153+D158</f>
        <v>61754.1</v>
      </c>
      <c r="E176" s="139">
        <f t="shared" ref="E176:K176" si="99">E169+E168+E167+E164+E151+E155+E153+E158</f>
        <v>59860.799999999996</v>
      </c>
      <c r="F176" s="139">
        <f t="shared" si="99"/>
        <v>61248.200000000004</v>
      </c>
      <c r="G176" s="139">
        <f t="shared" si="99"/>
        <v>63322.999999999993</v>
      </c>
      <c r="H176" s="139">
        <f t="shared" si="99"/>
        <v>61185</v>
      </c>
      <c r="I176" s="139">
        <f t="shared" si="99"/>
        <v>66429</v>
      </c>
      <c r="J176" s="139">
        <f t="shared" si="99"/>
        <v>70097.3</v>
      </c>
      <c r="K176" s="139">
        <f t="shared" si="99"/>
        <v>69562</v>
      </c>
      <c r="L176" s="139">
        <f t="shared" ref="L176:Q176" si="100">L169+L168+L167+L164+L151+L155+L153+L158</f>
        <v>60571.199999999997</v>
      </c>
      <c r="M176" s="139">
        <f t="shared" si="100"/>
        <v>62576.029891466293</v>
      </c>
      <c r="N176" s="139">
        <f t="shared" si="100"/>
        <v>64203.483688899752</v>
      </c>
      <c r="O176" s="139">
        <f t="shared" si="100"/>
        <v>65362.553266338553</v>
      </c>
      <c r="P176" s="139">
        <f t="shared" si="100"/>
        <v>66528.21000858616</v>
      </c>
      <c r="Q176" s="139">
        <f t="shared" si="100"/>
        <v>67605.613641912365</v>
      </c>
      <c r="V176" s="147"/>
      <c r="W176" s="147"/>
      <c r="X176" s="145"/>
      <c r="Y176" s="145"/>
      <c r="Z176" s="145"/>
      <c r="AA176" s="145"/>
    </row>
    <row r="177" spans="1:29" outlineLevel="1" x14ac:dyDescent="0.15">
      <c r="A177" s="128" t="s">
        <v>74</v>
      </c>
      <c r="B177" s="159"/>
      <c r="C177" s="138"/>
      <c r="D177" s="138">
        <f t="shared" ref="D177:Q177" si="101">D176/C176-1</f>
        <v>5.1968029109046521E-2</v>
      </c>
      <c r="E177" s="138">
        <f t="shared" si="101"/>
        <v>-3.065869310701641E-2</v>
      </c>
      <c r="F177" s="138">
        <f t="shared" si="101"/>
        <v>2.3177104215112543E-2</v>
      </c>
      <c r="G177" s="138">
        <f t="shared" si="101"/>
        <v>3.3875281232754295E-2</v>
      </c>
      <c r="H177" s="138">
        <f t="shared" si="101"/>
        <v>-3.3763403502676592E-2</v>
      </c>
      <c r="I177" s="138">
        <f t="shared" si="101"/>
        <v>8.5707281196371721E-2</v>
      </c>
      <c r="J177" s="138">
        <f t="shared" si="101"/>
        <v>5.5221364163241971E-2</v>
      </c>
      <c r="K177" s="138">
        <f t="shared" si="101"/>
        <v>-7.6365280831073301E-3</v>
      </c>
      <c r="L177" s="138">
        <f t="shared" si="101"/>
        <v>-0.1292487277536587</v>
      </c>
      <c r="M177" s="138">
        <f t="shared" si="101"/>
        <v>3.3098731599610076E-2</v>
      </c>
      <c r="N177" s="138">
        <f t="shared" si="101"/>
        <v>2.6007623050809725E-2</v>
      </c>
      <c r="O177" s="138">
        <f t="shared" si="101"/>
        <v>1.8053063647684775E-2</v>
      </c>
      <c r="P177" s="138">
        <f t="shared" si="101"/>
        <v>1.7833708813329352E-2</v>
      </c>
      <c r="Q177" s="138">
        <f t="shared" si="101"/>
        <v>1.6194688436486526E-2</v>
      </c>
      <c r="R177" s="111"/>
      <c r="S177" s="111"/>
      <c r="T177" s="111"/>
      <c r="V177" s="119"/>
      <c r="W177" s="119"/>
      <c r="X177" s="117"/>
      <c r="Y177" s="117"/>
      <c r="Z177" s="117"/>
      <c r="AA177" s="145"/>
    </row>
    <row r="178" spans="1:29" x14ac:dyDescent="0.15">
      <c r="B178" s="138"/>
      <c r="C178" s="220"/>
      <c r="D178" s="220"/>
      <c r="E178" s="220"/>
      <c r="F178" s="220"/>
      <c r="G178" s="220"/>
      <c r="H178" s="220"/>
      <c r="I178" s="220"/>
      <c r="J178" s="220"/>
      <c r="K178" s="220"/>
      <c r="L178" s="220"/>
      <c r="V178" s="119"/>
      <c r="W178" s="119"/>
      <c r="X178" s="117"/>
      <c r="Y178" s="117"/>
      <c r="Z178" s="117"/>
      <c r="AA178" s="111"/>
    </row>
    <row r="179" spans="1:29" outlineLevel="2" x14ac:dyDescent="0.15">
      <c r="A179" s="125" t="s">
        <v>284</v>
      </c>
      <c r="B179" s="133">
        <f>B172-B169</f>
        <v>4841.8999999999996</v>
      </c>
      <c r="C179" s="134">
        <f t="shared" ref="C179:L179" si="102">C176-C182</f>
        <v>0</v>
      </c>
      <c r="D179" s="134">
        <f t="shared" si="102"/>
        <v>0</v>
      </c>
      <c r="E179" s="134">
        <f t="shared" si="102"/>
        <v>0</v>
      </c>
      <c r="F179" s="134">
        <f t="shared" si="102"/>
        <v>0</v>
      </c>
      <c r="G179" s="134">
        <f t="shared" si="102"/>
        <v>0</v>
      </c>
      <c r="H179" s="134">
        <f t="shared" si="102"/>
        <v>0</v>
      </c>
      <c r="I179" s="134">
        <f t="shared" si="102"/>
        <v>0</v>
      </c>
      <c r="J179" s="134">
        <f t="shared" si="102"/>
        <v>0</v>
      </c>
      <c r="K179" s="134">
        <f t="shared" si="102"/>
        <v>0</v>
      </c>
      <c r="L179" s="134">
        <f t="shared" si="102"/>
        <v>0</v>
      </c>
      <c r="P179" s="117"/>
      <c r="Q179" s="117"/>
      <c r="R179" s="117"/>
      <c r="S179" s="117"/>
      <c r="T179" s="117"/>
      <c r="U179" s="118"/>
      <c r="V179" s="119"/>
      <c r="W179" s="119"/>
      <c r="X179" s="117"/>
      <c r="Y179" s="117"/>
      <c r="Z179" s="117"/>
      <c r="AA179" s="111"/>
      <c r="AB179" s="117"/>
      <c r="AC179" s="120"/>
    </row>
    <row r="180" spans="1:29" outlineLevel="2" x14ac:dyDescent="0.15">
      <c r="A180" s="128" t="s">
        <v>285</v>
      </c>
      <c r="B180" s="135" t="e">
        <f>B179/B$37</f>
        <v>#REF!</v>
      </c>
      <c r="C180" s="136">
        <f t="shared" ref="C180:L180" si="103">C179/C176</f>
        <v>0</v>
      </c>
      <c r="D180" s="136">
        <f t="shared" si="103"/>
        <v>0</v>
      </c>
      <c r="E180" s="136">
        <f t="shared" si="103"/>
        <v>0</v>
      </c>
      <c r="F180" s="136">
        <f t="shared" si="103"/>
        <v>0</v>
      </c>
      <c r="G180" s="136">
        <f t="shared" si="103"/>
        <v>0</v>
      </c>
      <c r="H180" s="136">
        <f t="shared" si="103"/>
        <v>0</v>
      </c>
      <c r="I180" s="136">
        <f t="shared" si="103"/>
        <v>0</v>
      </c>
      <c r="J180" s="136">
        <f t="shared" si="103"/>
        <v>0</v>
      </c>
      <c r="K180" s="136">
        <f t="shared" si="103"/>
        <v>0</v>
      </c>
      <c r="L180" s="136">
        <f t="shared" si="103"/>
        <v>0</v>
      </c>
      <c r="P180" s="117"/>
      <c r="Q180" s="117"/>
      <c r="R180" s="117"/>
      <c r="S180" s="117"/>
      <c r="T180" s="117"/>
      <c r="U180" s="118"/>
      <c r="V180" s="119"/>
      <c r="W180" s="119"/>
      <c r="X180" s="117"/>
      <c r="Y180" s="117"/>
      <c r="Z180" s="117"/>
      <c r="AA180" s="111"/>
      <c r="AB180" s="117"/>
      <c r="AC180" s="120"/>
    </row>
    <row r="181" spans="1:29" ht="13.25" customHeight="1" outlineLevel="1" x14ac:dyDescent="0.15">
      <c r="P181" s="117"/>
      <c r="Q181" s="117"/>
      <c r="R181" s="117"/>
      <c r="S181" s="117"/>
      <c r="T181" s="117"/>
      <c r="U181" s="118"/>
      <c r="V181" s="147"/>
      <c r="W181" s="147"/>
      <c r="X181" s="145"/>
      <c r="Y181" s="145"/>
      <c r="Z181" s="145"/>
      <c r="AA181" s="111"/>
      <c r="AB181" s="117"/>
      <c r="AC181" s="120"/>
    </row>
    <row r="182" spans="1:29" outlineLevel="1" x14ac:dyDescent="0.15">
      <c r="A182" s="186" t="s">
        <v>116</v>
      </c>
      <c r="B182" s="140">
        <f>CHOOSE(IF($B$1=2,2,1),'GAAP-IFRS'!E35,IF('Broker Actual'!E35="-",'GAAP-IFRS'!E35,'Broker Actual'!E35))</f>
        <v>58082.8</v>
      </c>
      <c r="C182" s="140">
        <f>CHOOSE(IF($B$1=2,2,1),'GAAP-IFRS'!F35,IF('Broker Actual'!F35="-",'GAAP-IFRS'!F35,'Broker Actual'!F35))</f>
        <v>58703.4</v>
      </c>
      <c r="D182" s="140">
        <f>CHOOSE(IF($B$1=2,2,1),'GAAP-IFRS'!G35,IF('Broker Actual'!G35="-",'GAAP-IFRS'!G35,'Broker Actual'!G35))</f>
        <v>61754.1</v>
      </c>
      <c r="E182" s="140">
        <f>CHOOSE(IF($B$1=2,2,1),'GAAP-IFRS'!H35,IF('Broker Actual'!H35="-",'GAAP-IFRS'!H35,'Broker Actual'!H35))</f>
        <v>59860.799999999996</v>
      </c>
      <c r="F182" s="140">
        <f>CHOOSE(IF($B$1=2,2,1),'GAAP-IFRS'!I35,IF('Broker Actual'!I35="-",'GAAP-IFRS'!I35,'Broker Actual'!I35))</f>
        <v>61248.200000000004</v>
      </c>
      <c r="G182" s="140">
        <f>CHOOSE(IF($B$1=2,2,1),'GAAP-IFRS'!J35,IF('Broker Actual'!J35="-",'GAAP-IFRS'!J35,'Broker Actual'!J35))</f>
        <v>63322.999999999993</v>
      </c>
      <c r="H182" s="140">
        <f>CHOOSE(IF($B$1=2,2,1),'GAAP-IFRS'!K35,IF('Broker Actual'!K35="-",'GAAP-IFRS'!K35,'Broker Actual'!K35))</f>
        <v>61185</v>
      </c>
      <c r="I182" s="140">
        <f>CHOOSE(IF($B$1=2,2,1),'GAAP-IFRS'!L35,IF('Broker Actual'!L35="-",'GAAP-IFRS'!L35,'Broker Actual'!L35))</f>
        <v>66429</v>
      </c>
      <c r="J182" s="140">
        <f>CHOOSE(IF($B$1=2,2,1),'GAAP-IFRS'!M35,IF('Broker Actual'!M35="-",'GAAP-IFRS'!M35,'Broker Actual'!M35))</f>
        <v>70097.3</v>
      </c>
      <c r="K182" s="140">
        <f>CHOOSE(IF($B$1=2,2,1),'GAAP-IFRS'!N35,IF('Broker Actual'!N35="-",'GAAP-IFRS'!N35,'Broker Actual'!N35))</f>
        <v>69562</v>
      </c>
      <c r="L182" s="140">
        <f>CHOOSE(IF($B$1=2,2,1),'GAAP-IFRS'!O35,IF('Broker Actual'!O35="-",'GAAP-IFRS'!O35,'Broker Actual'!O35))</f>
        <v>60571.199999999997</v>
      </c>
      <c r="P182" s="117"/>
      <c r="Q182" s="117"/>
      <c r="R182" s="117"/>
      <c r="S182" s="117"/>
      <c r="T182" s="117"/>
      <c r="U182" s="118"/>
      <c r="V182" s="119"/>
      <c r="W182" s="119"/>
      <c r="X182" s="117"/>
      <c r="Y182" s="117"/>
      <c r="Z182" s="117"/>
      <c r="AA182" s="111"/>
      <c r="AB182" s="117"/>
      <c r="AC182" s="120"/>
    </row>
    <row r="183" spans="1:29" outlineLevel="1" x14ac:dyDescent="0.15">
      <c r="A183" s="186"/>
      <c r="B183" s="140"/>
      <c r="C183" s="140"/>
      <c r="D183" s="140"/>
      <c r="E183" s="140"/>
      <c r="F183" s="140"/>
      <c r="G183" s="140"/>
      <c r="H183" s="140"/>
      <c r="I183" s="140"/>
      <c r="J183" s="140"/>
      <c r="K183" s="140"/>
      <c r="L183" s="140"/>
      <c r="P183" s="117"/>
      <c r="Q183" s="117"/>
      <c r="R183" s="117"/>
      <c r="S183" s="117"/>
      <c r="T183" s="117"/>
      <c r="U183" s="130"/>
      <c r="V183" s="119" t="s">
        <v>78</v>
      </c>
      <c r="W183" s="119" t="s">
        <v>126</v>
      </c>
      <c r="X183" s="117" cm="1">
        <f t="array" ref="X183">_xll.FDSC("--",$A$1,""&amp;$V183&amp;"("&amp;$W183&amp;","&amp;D$2&amp;",ANNUAL_ROLL,+1,0,,,'CURRENCY="&amp;$E$1&amp;"')")</f>
        <v>10837.2</v>
      </c>
      <c r="Y183" s="117" cm="1">
        <f t="array" ref="Y183">_xll.FDSC("--",$A$1,""&amp;$V183&amp;"("&amp;$W183&amp;","&amp;D$2&amp;",ANNUAL_ROLL,+2,0,,,'CURRENCY="&amp;$E$1&amp;"')")</f>
        <v>11071.2</v>
      </c>
      <c r="Z183" s="117" cm="1">
        <f t="array" ref="Z183">_xll.FDSC("--",$A$1,""&amp;$V183&amp;"("&amp;$W183&amp;","&amp;D$2&amp;",ANNUAL_ROLL,+3,0,,,'CURRENCY="&amp;$E$1&amp;"')")</f>
        <v>11566</v>
      </c>
      <c r="AA183" s="111"/>
      <c r="AB183" s="117"/>
      <c r="AC183" s="120"/>
    </row>
    <row r="184" spans="1:29" ht="15" outlineLevel="1" x14ac:dyDescent="0.15">
      <c r="A184" s="223" t="s">
        <v>286</v>
      </c>
      <c r="B184" s="140"/>
      <c r="C184" s="265">
        <v>1511</v>
      </c>
      <c r="D184" s="255">
        <v>1529.3</v>
      </c>
      <c r="E184" s="255">
        <v>1484.6</v>
      </c>
      <c r="F184" s="255">
        <v>1507.9</v>
      </c>
      <c r="G184" s="255">
        <v>1605.2</v>
      </c>
      <c r="H184" s="255">
        <v>1695.7</v>
      </c>
      <c r="I184" s="255">
        <v>1745.5</v>
      </c>
      <c r="J184" s="255">
        <v>1855.4</v>
      </c>
      <c r="K184" s="255">
        <v>1907.7</v>
      </c>
      <c r="L184" s="255">
        <v>5740.2</v>
      </c>
      <c r="M184" s="139">
        <f>M11*M185</f>
        <v>3998.4112000000005</v>
      </c>
      <c r="N184" s="139">
        <f>N11*N185</f>
        <v>4068.9234720000009</v>
      </c>
      <c r="O184" s="139">
        <f>O11*O185</f>
        <v>3265.9848226560002</v>
      </c>
      <c r="P184" s="139">
        <f>P11*P185</f>
        <v>3192.6346949174799</v>
      </c>
      <c r="Q184" s="139">
        <f>Q11*Q185</f>
        <v>3097.3363237419239</v>
      </c>
      <c r="R184" s="117"/>
      <c r="S184" s="117"/>
      <c r="T184" s="117"/>
      <c r="U184" s="130"/>
      <c r="V184" s="147"/>
      <c r="W184" s="147"/>
      <c r="X184" s="145"/>
      <c r="Y184" s="145"/>
      <c r="Z184" s="145"/>
      <c r="AA184" s="111"/>
      <c r="AB184" s="117"/>
      <c r="AC184" s="120"/>
    </row>
    <row r="185" spans="1:29" ht="15" outlineLevel="1" x14ac:dyDescent="0.15">
      <c r="A185" s="223" t="s">
        <v>529</v>
      </c>
      <c r="B185" s="262"/>
      <c r="C185" s="301">
        <f t="shared" ref="C185:L185" si="104">C184/C11</f>
        <v>0.1981717313468071</v>
      </c>
      <c r="D185" s="301">
        <f t="shared" si="104"/>
        <v>0.1961345098240394</v>
      </c>
      <c r="E185" s="301">
        <f t="shared" si="104"/>
        <v>0.18368306443630605</v>
      </c>
      <c r="F185" s="301">
        <f t="shared" si="104"/>
        <v>0.18042045060243847</v>
      </c>
      <c r="G185" s="301">
        <f t="shared" si="104"/>
        <v>0.1867141245303649</v>
      </c>
      <c r="H185" s="301">
        <f t="shared" si="104"/>
        <v>0.18870255171876565</v>
      </c>
      <c r="I185" s="301">
        <f t="shared" si="104"/>
        <v>0.18637353719996583</v>
      </c>
      <c r="J185" s="301">
        <f t="shared" si="104"/>
        <v>0.19784391294611914</v>
      </c>
      <c r="K185" s="301">
        <f t="shared" si="104"/>
        <v>0.20121295222022995</v>
      </c>
      <c r="L185" s="301">
        <f t="shared" si="104"/>
        <v>0.59648357129496854</v>
      </c>
      <c r="M185" s="123">
        <v>0.4</v>
      </c>
      <c r="N185" s="123">
        <v>0.4</v>
      </c>
      <c r="O185" s="123">
        <v>0.32</v>
      </c>
      <c r="P185" s="123">
        <v>0.31</v>
      </c>
      <c r="Q185" s="123">
        <v>0.3</v>
      </c>
      <c r="R185" s="117"/>
      <c r="S185" s="117"/>
      <c r="T185" s="117"/>
      <c r="U185" s="75"/>
      <c r="V185" s="192"/>
      <c r="W185" s="192"/>
      <c r="X185" s="111"/>
      <c r="Y185" s="111"/>
      <c r="Z185" s="111"/>
      <c r="AA185" s="111"/>
      <c r="AB185" s="111"/>
      <c r="AC185" s="185"/>
    </row>
    <row r="186" spans="1:29" outlineLevel="1" x14ac:dyDescent="0.15">
      <c r="A186" s="223"/>
      <c r="B186" s="140"/>
      <c r="C186" s="265"/>
      <c r="D186" s="255"/>
      <c r="E186" s="255"/>
      <c r="F186" s="255"/>
      <c r="G186" s="255"/>
      <c r="H186" s="255"/>
      <c r="I186" s="255"/>
      <c r="J186" s="255"/>
      <c r="K186" s="255"/>
      <c r="L186" s="255"/>
      <c r="M186" s="123"/>
      <c r="N186" s="123"/>
      <c r="O186" s="123"/>
      <c r="P186" s="117"/>
      <c r="Q186" s="117"/>
      <c r="R186" s="117"/>
      <c r="S186" s="117"/>
      <c r="T186" s="117"/>
      <c r="U186" s="130"/>
      <c r="V186" s="169"/>
      <c r="W186" s="169"/>
      <c r="X186" s="159"/>
      <c r="Y186" s="159"/>
      <c r="Z186" s="159"/>
      <c r="AA186" s="111"/>
      <c r="AB186" s="117"/>
      <c r="AC186" s="120"/>
    </row>
    <row r="187" spans="1:29" ht="15" outlineLevel="1" x14ac:dyDescent="0.15">
      <c r="A187" s="223" t="s">
        <v>287</v>
      </c>
      <c r="B187" s="140"/>
      <c r="C187" s="255">
        <v>43099.1</v>
      </c>
      <c r="D187" s="255">
        <v>45929.4</v>
      </c>
      <c r="E187" s="255">
        <v>43540.6</v>
      </c>
      <c r="F187" s="255">
        <v>44245.9</v>
      </c>
      <c r="G187" s="255">
        <v>45601.599999999999</v>
      </c>
      <c r="H187" s="255">
        <v>44841.9</v>
      </c>
      <c r="I187" s="255">
        <v>47780.1</v>
      </c>
      <c r="J187" s="255">
        <v>49653</v>
      </c>
      <c r="K187" s="255">
        <v>48007.5</v>
      </c>
      <c r="L187" s="255">
        <v>38577.1</v>
      </c>
      <c r="M187" s="139">
        <f>M188*M11</f>
        <v>39984.112000000001</v>
      </c>
      <c r="N187" s="139">
        <f>N188*N11</f>
        <v>40790.957806800005</v>
      </c>
      <c r="O187" s="139">
        <f>O188*O11</f>
        <v>40926.872308908001</v>
      </c>
      <c r="P187" s="139">
        <f>P188*P11</f>
        <v>41298.27460199708</v>
      </c>
      <c r="Q187" s="139">
        <f>Q188*Q11</f>
        <v>41401.062194017046</v>
      </c>
      <c r="R187" s="117"/>
      <c r="S187" s="117"/>
      <c r="T187" s="117"/>
      <c r="U187" s="130"/>
      <c r="V187" s="192"/>
      <c r="W187" s="192"/>
      <c r="X187" s="111"/>
      <c r="Y187" s="111"/>
      <c r="Z187" s="111"/>
      <c r="AA187" s="111"/>
      <c r="AB187" s="117"/>
      <c r="AC187" s="120"/>
    </row>
    <row r="188" spans="1:29" ht="15" outlineLevel="1" x14ac:dyDescent="0.15">
      <c r="A188" s="497" t="s">
        <v>529</v>
      </c>
      <c r="B188" s="140"/>
      <c r="C188" s="303">
        <f t="shared" ref="C188:L188" si="105">C187/C11</f>
        <v>5.6525633795428014</v>
      </c>
      <c r="D188" s="303">
        <f t="shared" si="105"/>
        <v>5.8904991535422973</v>
      </c>
      <c r="E188" s="303">
        <f t="shared" si="105"/>
        <v>5.387087993665248</v>
      </c>
      <c r="F188" s="303">
        <f t="shared" si="105"/>
        <v>5.2940282613637724</v>
      </c>
      <c r="G188" s="303">
        <f t="shared" si="105"/>
        <v>5.3043002873061846</v>
      </c>
      <c r="H188" s="303">
        <f t="shared" si="105"/>
        <v>4.9901403278396632</v>
      </c>
      <c r="I188" s="303">
        <f t="shared" si="105"/>
        <v>5.1016592636883908</v>
      </c>
      <c r="J188" s="303">
        <f t="shared" si="105"/>
        <v>5.2945692624305565</v>
      </c>
      <c r="K188" s="303">
        <f t="shared" si="105"/>
        <v>5.0635481489294376</v>
      </c>
      <c r="L188" s="303">
        <f t="shared" si="105"/>
        <v>4.0086767670469898</v>
      </c>
      <c r="M188" s="299">
        <v>4</v>
      </c>
      <c r="N188" s="299">
        <v>4.01</v>
      </c>
      <c r="O188" s="299">
        <f>N188</f>
        <v>4.01</v>
      </c>
      <c r="P188" s="299">
        <f t="shared" ref="P188:Q188" si="106">O188</f>
        <v>4.01</v>
      </c>
      <c r="Q188" s="299">
        <f t="shared" si="106"/>
        <v>4.01</v>
      </c>
      <c r="R188" s="117"/>
      <c r="S188" s="117"/>
      <c r="T188" s="117"/>
      <c r="U188" s="130"/>
      <c r="V188" s="192"/>
      <c r="W188" s="192"/>
      <c r="X188" s="111"/>
      <c r="Y188" s="111"/>
      <c r="Z188" s="111"/>
      <c r="AA188" s="111"/>
      <c r="AB188" s="117"/>
      <c r="AC188" s="120"/>
    </row>
    <row r="189" spans="1:29" outlineLevel="1" x14ac:dyDescent="0.15">
      <c r="A189" s="223"/>
      <c r="B189" s="140"/>
      <c r="C189" s="255"/>
      <c r="D189" s="255"/>
      <c r="E189" s="255"/>
      <c r="F189" s="255"/>
      <c r="G189" s="255"/>
      <c r="H189" s="255"/>
      <c r="I189" s="255"/>
      <c r="J189" s="255"/>
      <c r="K189" s="255"/>
      <c r="L189" s="255"/>
      <c r="P189" s="117"/>
      <c r="Q189" s="117"/>
      <c r="R189" s="117"/>
      <c r="S189" s="117"/>
      <c r="T189" s="117"/>
      <c r="U189" s="130"/>
      <c r="V189" s="192"/>
      <c r="W189" s="192"/>
      <c r="X189" s="111"/>
      <c r="Y189" s="111"/>
      <c r="Z189" s="111"/>
      <c r="AA189" s="111"/>
      <c r="AB189" s="117"/>
      <c r="AC189" s="120"/>
    </row>
    <row r="190" spans="1:29" ht="15" outlineLevel="1" x14ac:dyDescent="0.15">
      <c r="A190" s="223" t="s">
        <v>288</v>
      </c>
      <c r="B190" s="140"/>
      <c r="C190" s="255">
        <v>413.8</v>
      </c>
      <c r="D190" s="255">
        <v>396.6</v>
      </c>
      <c r="E190" s="255">
        <v>384.2</v>
      </c>
      <c r="F190" s="255">
        <v>363.7</v>
      </c>
      <c r="G190" s="255">
        <v>373.1</v>
      </c>
      <c r="H190" s="255">
        <v>363.3</v>
      </c>
      <c r="I190" s="255">
        <v>363.9</v>
      </c>
      <c r="J190" s="255">
        <v>349.3</v>
      </c>
      <c r="K190" s="255">
        <v>347.5</v>
      </c>
      <c r="L190" s="255">
        <v>365.5</v>
      </c>
      <c r="M190" s="151">
        <f>AVERAGE(I190:L190)</f>
        <v>356.55</v>
      </c>
      <c r="N190" s="151">
        <f t="shared" ref="N190:Q200" si="107">AVERAGE(J190:M190)</f>
        <v>354.71249999999998</v>
      </c>
      <c r="O190" s="151">
        <f t="shared" si="107"/>
        <v>356.06562499999995</v>
      </c>
      <c r="P190" s="151">
        <f t="shared" si="107"/>
        <v>358.20703124999994</v>
      </c>
      <c r="Q190" s="151">
        <f t="shared" si="107"/>
        <v>356.3837890625</v>
      </c>
      <c r="R190" s="117"/>
      <c r="S190" s="117"/>
      <c r="T190" s="117"/>
      <c r="U190" s="130"/>
      <c r="V190" s="192"/>
      <c r="W190" s="192"/>
      <c r="X190" s="111"/>
      <c r="Y190" s="111"/>
      <c r="Z190" s="111"/>
      <c r="AA190" s="111"/>
      <c r="AB190" s="117"/>
      <c r="AC190" s="120"/>
    </row>
    <row r="191" spans="1:29" ht="15" outlineLevel="1" x14ac:dyDescent="0.15">
      <c r="A191" s="223" t="s">
        <v>289</v>
      </c>
      <c r="B191" s="140"/>
      <c r="C191" s="255">
        <v>1658.4</v>
      </c>
      <c r="D191" s="255">
        <v>1657.8</v>
      </c>
      <c r="E191" s="255">
        <v>1674.6</v>
      </c>
      <c r="F191" s="255">
        <v>1623.8</v>
      </c>
      <c r="G191" s="255">
        <v>1595</v>
      </c>
      <c r="H191" s="255">
        <v>1594.8</v>
      </c>
      <c r="I191" s="255">
        <v>1599.7</v>
      </c>
      <c r="J191" s="255">
        <v>1663.9</v>
      </c>
      <c r="K191" s="255">
        <v>1790.9</v>
      </c>
      <c r="L191" s="255">
        <v>1750.4</v>
      </c>
      <c r="M191" s="133">
        <f>M192*M11</f>
        <v>1799.28504</v>
      </c>
      <c r="N191" s="133">
        <f>N192*N11</f>
        <v>1831.0155624000004</v>
      </c>
      <c r="O191" s="133">
        <f>O192*O11</f>
        <v>1837.116462744</v>
      </c>
      <c r="P191" s="133">
        <f>P192*P11</f>
        <v>1853.7878873714399</v>
      </c>
      <c r="Q191" s="133">
        <f>Q192*Q11</f>
        <v>1858.4017942451544</v>
      </c>
      <c r="R191" s="117"/>
      <c r="S191" s="117"/>
      <c r="T191" s="117"/>
      <c r="U191" s="130"/>
      <c r="V191" s="192"/>
      <c r="W191" s="192"/>
      <c r="X191" s="111"/>
      <c r="Y191" s="111"/>
      <c r="Z191" s="111"/>
      <c r="AA191" s="111"/>
      <c r="AB191" s="117"/>
      <c r="AC191" s="120"/>
    </row>
    <row r="192" spans="1:29" ht="15" outlineLevel="1" x14ac:dyDescent="0.15">
      <c r="A192" s="497" t="s">
        <v>529</v>
      </c>
      <c r="B192" s="140"/>
      <c r="C192" s="303">
        <f t="shared" ref="C192:L192" si="108">C191/C11</f>
        <v>0.21750363948745527</v>
      </c>
      <c r="D192" s="303">
        <f t="shared" si="108"/>
        <v>0.21261478479454163</v>
      </c>
      <c r="E192" s="303">
        <f t="shared" si="108"/>
        <v>0.20719093338612293</v>
      </c>
      <c r="F192" s="303">
        <f t="shared" si="108"/>
        <v>0.19428790217404307</v>
      </c>
      <c r="G192" s="303">
        <f t="shared" si="108"/>
        <v>0.18552767793790928</v>
      </c>
      <c r="H192" s="303">
        <f t="shared" si="108"/>
        <v>0.17747409888605734</v>
      </c>
      <c r="I192" s="303">
        <f t="shared" si="108"/>
        <v>0.17080592807721875</v>
      </c>
      <c r="J192" s="303">
        <f t="shared" si="108"/>
        <v>0.17742399846450774</v>
      </c>
      <c r="K192" s="303">
        <f t="shared" si="108"/>
        <v>0.18889357662693809</v>
      </c>
      <c r="L192" s="303">
        <f t="shared" si="108"/>
        <v>0.18188997651557662</v>
      </c>
      <c r="M192" s="431">
        <v>0.18</v>
      </c>
      <c r="N192" s="431">
        <v>0.18</v>
      </c>
      <c r="O192" s="431">
        <v>0.18</v>
      </c>
      <c r="P192" s="431">
        <v>0.18</v>
      </c>
      <c r="Q192" s="431">
        <v>0.18</v>
      </c>
      <c r="R192" s="117"/>
      <c r="S192" s="117"/>
      <c r="T192" s="117"/>
      <c r="U192" s="130"/>
      <c r="V192" s="192"/>
      <c r="W192" s="192"/>
      <c r="X192" s="111"/>
      <c r="Y192" s="111"/>
      <c r="Z192" s="111"/>
      <c r="AA192" s="111"/>
      <c r="AB192" s="117"/>
      <c r="AC192" s="120"/>
    </row>
    <row r="193" spans="1:29" outlineLevel="1" x14ac:dyDescent="0.15">
      <c r="A193" s="497"/>
      <c r="B193" s="140"/>
      <c r="C193" s="303"/>
      <c r="D193" s="303"/>
      <c r="E193" s="303"/>
      <c r="F193" s="303"/>
      <c r="G193" s="303"/>
      <c r="H193" s="303"/>
      <c r="I193" s="303"/>
      <c r="J193" s="303"/>
      <c r="K193" s="303"/>
      <c r="L193" s="303"/>
      <c r="M193" s="431"/>
      <c r="N193" s="431"/>
      <c r="O193" s="431"/>
      <c r="P193" s="431"/>
      <c r="Q193" s="431"/>
      <c r="R193" s="117"/>
      <c r="S193" s="117"/>
      <c r="T193" s="117"/>
      <c r="U193" s="130"/>
      <c r="V193" s="192"/>
      <c r="W193" s="192"/>
      <c r="X193" s="111"/>
      <c r="Y193" s="111"/>
      <c r="Z193" s="111"/>
      <c r="AA193" s="111"/>
      <c r="AB193" s="117"/>
      <c r="AC193" s="120"/>
    </row>
    <row r="194" spans="1:29" ht="15" outlineLevel="1" x14ac:dyDescent="0.15">
      <c r="A194" s="223" t="s">
        <v>290</v>
      </c>
      <c r="B194" s="140"/>
      <c r="C194" s="255">
        <v>0</v>
      </c>
      <c r="D194" s="255">
        <v>0</v>
      </c>
      <c r="E194" s="255">
        <v>6</v>
      </c>
      <c r="F194" s="255">
        <v>20.6</v>
      </c>
      <c r="G194" s="255">
        <v>2.9</v>
      </c>
      <c r="H194" s="255">
        <v>24</v>
      </c>
      <c r="I194" s="255">
        <v>256.7</v>
      </c>
      <c r="J194" s="255">
        <v>0</v>
      </c>
      <c r="K194" s="255">
        <v>159.1</v>
      </c>
      <c r="L194" s="255">
        <v>190.9</v>
      </c>
      <c r="M194" s="151">
        <f t="shared" ref="M194:M200" si="109">AVERAGE(I194:L194)</f>
        <v>151.67499999999998</v>
      </c>
      <c r="N194" s="151">
        <f t="shared" si="107"/>
        <v>125.41874999999999</v>
      </c>
      <c r="O194" s="151">
        <f t="shared" si="107"/>
        <v>156.7734375</v>
      </c>
      <c r="P194" s="151">
        <f t="shared" si="107"/>
        <v>156.19179687499999</v>
      </c>
      <c r="Q194" s="151">
        <f t="shared" si="107"/>
        <v>147.51474609375001</v>
      </c>
      <c r="R194" s="117"/>
      <c r="S194" s="117"/>
      <c r="T194" s="117"/>
      <c r="U194" s="130"/>
      <c r="V194" s="192"/>
      <c r="W194" s="192"/>
      <c r="X194" s="111"/>
      <c r="Y194" s="111"/>
      <c r="Z194" s="111"/>
      <c r="AA194" s="111"/>
      <c r="AB194" s="117"/>
      <c r="AC194" s="120"/>
    </row>
    <row r="195" spans="1:29" ht="15" outlineLevel="1" x14ac:dyDescent="0.15">
      <c r="A195" s="223" t="s">
        <v>291</v>
      </c>
      <c r="B195" s="140"/>
      <c r="C195" s="255">
        <v>144.30000000000001</v>
      </c>
      <c r="D195" s="255">
        <v>62</v>
      </c>
      <c r="E195" s="255">
        <v>91.8</v>
      </c>
      <c r="F195" s="255">
        <v>130.30000000000001</v>
      </c>
      <c r="G195" s="255">
        <v>199</v>
      </c>
      <c r="H195" s="255">
        <v>0</v>
      </c>
      <c r="I195" s="255">
        <v>95.4</v>
      </c>
      <c r="J195" s="255">
        <v>416.1</v>
      </c>
      <c r="K195" s="255">
        <v>458.4</v>
      </c>
      <c r="L195" s="255">
        <v>25.2</v>
      </c>
      <c r="M195" s="151">
        <v>25</v>
      </c>
      <c r="N195" s="151">
        <f>M195</f>
        <v>25</v>
      </c>
      <c r="O195" s="151">
        <f>N195</f>
        <v>25</v>
      </c>
      <c r="P195" s="151">
        <f t="shared" ref="P195:Q195" si="110">O195</f>
        <v>25</v>
      </c>
      <c r="Q195" s="151">
        <f t="shared" si="110"/>
        <v>25</v>
      </c>
      <c r="R195" s="117"/>
      <c r="S195" s="117"/>
      <c r="T195" s="117"/>
      <c r="U195" s="130"/>
      <c r="V195" s="192"/>
      <c r="W195" s="192"/>
      <c r="X195" s="111"/>
      <c r="Y195" s="111"/>
      <c r="Z195" s="111"/>
      <c r="AA195" s="111"/>
      <c r="AB195" s="117"/>
      <c r="AC195" s="120"/>
    </row>
    <row r="196" spans="1:29" outlineLevel="1" x14ac:dyDescent="0.15">
      <c r="A196" s="221" t="s">
        <v>119</v>
      </c>
      <c r="B196" s="140">
        <f>CHOOSE(IF($B$1=2,2,1),'GAAP-IFRS'!E39,IF('Broker Actual'!E39="-",'GAAP-IFRS'!E39,'Broker Actual'!E39))</f>
        <v>455.8</v>
      </c>
      <c r="C196" s="140">
        <f>CHOOSE(IF($B$1=2,2,1),'GAAP-IFRS'!F39,IF('Broker Actual'!F39="-",'GAAP-IFRS'!F39,'Broker Actual'!F39))</f>
        <v>76.5</v>
      </c>
      <c r="D196" s="140">
        <f>CHOOSE(IF($B$1=2,2,1),'GAAP-IFRS'!G39,IF('Broker Actual'!G39="-",'GAAP-IFRS'!G39,'Broker Actual'!G39))</f>
        <v>151.9</v>
      </c>
      <c r="E196" s="140">
        <f>CHOOSE(IF($B$1=2,2,1),'GAAP-IFRS'!H39,IF('Broker Actual'!H39="-",'GAAP-IFRS'!H39,'Broker Actual'!H39))</f>
        <v>352</v>
      </c>
      <c r="F196" s="140">
        <f>CHOOSE(IF($B$1=2,2,1),'GAAP-IFRS'!I39,IF('Broker Actual'!I39="-",'GAAP-IFRS'!I39,'Broker Actual'!I39))</f>
        <v>0</v>
      </c>
      <c r="G196" s="140">
        <f>CHOOSE(IF($B$1=2,2,1),'GAAP-IFRS'!J39,IF('Broker Actual'!J39="-",'GAAP-IFRS'!J39,'Broker Actual'!J39))</f>
        <v>199.9</v>
      </c>
      <c r="H196" s="140">
        <f>CHOOSE(IF($B$1=2,2,1),'GAAP-IFRS'!K39,IF('Broker Actual'!K39="-",'GAAP-IFRS'!K39,'Broker Actual'!K39))</f>
        <v>0</v>
      </c>
      <c r="I196" s="140">
        <f>CHOOSE(IF($B$1=2,2,1),'GAAP-IFRS'!L39,IF('Broker Actual'!L39="-",'GAAP-IFRS'!L39,'Broker Actual'!L39))</f>
        <v>426.3</v>
      </c>
      <c r="J196" s="140">
        <f>CHOOSE(IF($B$1=2,2,1),'GAAP-IFRS'!M39,IF('Broker Actual'!M39="-",'GAAP-IFRS'!M39,'Broker Actual'!M39))</f>
        <v>25.4</v>
      </c>
      <c r="K196" s="140">
        <f>CHOOSE(IF($B$1=2,2,1),'GAAP-IFRS'!N39,IF('Broker Actual'!N39="-",'GAAP-IFRS'!N39,'Broker Actual'!N39))</f>
        <v>22.6</v>
      </c>
      <c r="L196" s="140">
        <f>CHOOSE(IF($B$1=2,2,1),'GAAP-IFRS'!O39,IF('Broker Actual'!O39="-",'GAAP-IFRS'!O39,'Broker Actual'!O39))</f>
        <v>20.2</v>
      </c>
      <c r="M196" s="133">
        <v>40</v>
      </c>
      <c r="N196" s="133">
        <f t="shared" si="107"/>
        <v>27.05</v>
      </c>
      <c r="O196" s="133">
        <f t="shared" si="107"/>
        <v>27.462499999999999</v>
      </c>
      <c r="P196" s="133">
        <f t="shared" si="107"/>
        <v>28.678125000000001</v>
      </c>
      <c r="Q196" s="133">
        <f t="shared" si="107"/>
        <v>30.797656249999996</v>
      </c>
      <c r="R196" s="117"/>
      <c r="S196" s="117"/>
      <c r="T196" s="117"/>
      <c r="U196" s="130"/>
      <c r="V196" s="192"/>
      <c r="W196" s="192"/>
      <c r="X196" s="111"/>
      <c r="Y196" s="111"/>
      <c r="Z196" s="111"/>
      <c r="AA196" s="111"/>
      <c r="AB196" s="117"/>
      <c r="AC196" s="120"/>
    </row>
    <row r="197" spans="1:29" outlineLevel="1" x14ac:dyDescent="0.15">
      <c r="A197" s="221" t="s">
        <v>120</v>
      </c>
      <c r="B197" s="140">
        <f>CHOOSE(IF($B$1=2,2,1),'GAAP-IFRS'!E40,IF('Broker Actual'!E40="-",'GAAP-IFRS'!E40,'Broker Actual'!E40))</f>
        <v>2755.4</v>
      </c>
      <c r="C197" s="140">
        <f>CHOOSE(IF($B$1=2,2,1),'GAAP-IFRS'!F40,IF('Broker Actual'!F40="-",'GAAP-IFRS'!F40,'Broker Actual'!F40))</f>
        <v>2612</v>
      </c>
      <c r="D197" s="140">
        <f>CHOOSE(IF($B$1=2,2,1),'GAAP-IFRS'!G40,IF('Broker Actual'!G40="-",'GAAP-IFRS'!G40,'Broker Actual'!G40))</f>
        <v>2628.7</v>
      </c>
      <c r="E197" s="140">
        <f>CHOOSE(IF($B$1=2,2,1),'GAAP-IFRS'!H40,IF('Broker Actual'!H40="-",'GAAP-IFRS'!H40,'Broker Actual'!H40))</f>
        <v>2449.4</v>
      </c>
      <c r="F197" s="140">
        <f>CHOOSE(IF($B$1=2,2,1),'GAAP-IFRS'!I40,IF('Broker Actual'!I40="-",'GAAP-IFRS'!I40,'Broker Actual'!I40))</f>
        <v>2999.4</v>
      </c>
      <c r="G197" s="140">
        <f>CHOOSE(IF($B$1=2,2,1),'GAAP-IFRS'!J40,IF('Broker Actual'!J40="-",'GAAP-IFRS'!J40,'Broker Actual'!J40))</f>
        <v>2738.4</v>
      </c>
      <c r="H197" s="140">
        <f>CHOOSE(IF($B$1=2,2,1),'GAAP-IFRS'!K40,IF('Broker Actual'!K40="-",'GAAP-IFRS'!K40,'Broker Actual'!K40))</f>
        <v>2971.3</v>
      </c>
      <c r="I197" s="140">
        <f>CHOOSE(IF($B$1=2,2,1),'GAAP-IFRS'!L40,IF('Broker Actual'!L40="-",'GAAP-IFRS'!L40,'Broker Actual'!L40))</f>
        <v>3015</v>
      </c>
      <c r="J197" s="140">
        <f>CHOOSE(IF($B$1=2,2,1),'GAAP-IFRS'!M40,IF('Broker Actual'!M40="-",'GAAP-IFRS'!M40,'Broker Actual'!M40))</f>
        <v>3426.2</v>
      </c>
      <c r="K197" s="140">
        <f>CHOOSE(IF($B$1=2,2,1),'GAAP-IFRS'!N40,IF('Broker Actual'!N40="-",'GAAP-IFRS'!N40,'Broker Actual'!N40))</f>
        <v>3502.2</v>
      </c>
      <c r="L197" s="140">
        <f>CHOOSE(IF($B$1=2,2,1),'GAAP-IFRS'!O40,IF('Broker Actual'!O40="-",'GAAP-IFRS'!O40,'Broker Actual'!O40))</f>
        <v>3477.5</v>
      </c>
      <c r="M197" s="133">
        <f>M198*M176</f>
        <v>3128.8014945733148</v>
      </c>
      <c r="N197" s="133">
        <f t="shared" ref="N197:Q197" si="111">N198*N176</f>
        <v>3210.174184444988</v>
      </c>
      <c r="O197" s="133">
        <f t="shared" si="111"/>
        <v>3268.1276633169277</v>
      </c>
      <c r="P197" s="133">
        <f t="shared" si="111"/>
        <v>3326.4105004293083</v>
      </c>
      <c r="Q197" s="133">
        <f t="shared" si="111"/>
        <v>3380.2806820956184</v>
      </c>
      <c r="R197" s="117"/>
      <c r="S197" s="117"/>
      <c r="T197" s="117"/>
      <c r="U197" s="130"/>
      <c r="V197" s="192"/>
      <c r="W197" s="192"/>
      <c r="X197" s="111"/>
      <c r="Y197" s="111"/>
      <c r="Z197" s="111"/>
      <c r="AA197" s="111"/>
      <c r="AB197" s="117"/>
      <c r="AC197" s="120"/>
    </row>
    <row r="198" spans="1:29" outlineLevel="1" x14ac:dyDescent="0.15">
      <c r="A198" s="498" t="s">
        <v>593</v>
      </c>
      <c r="B198" s="140"/>
      <c r="C198" s="300">
        <f>C197/C176</f>
        <v>4.4494867418241532E-2</v>
      </c>
      <c r="D198" s="300">
        <f t="shared" ref="D198:L198" si="112">D197/D176</f>
        <v>4.2567214160679205E-2</v>
      </c>
      <c r="E198" s="300">
        <f t="shared" si="112"/>
        <v>4.0918263705129236E-2</v>
      </c>
      <c r="F198" s="300">
        <f t="shared" si="112"/>
        <v>4.8971235073030715E-2</v>
      </c>
      <c r="G198" s="300">
        <f t="shared" si="112"/>
        <v>4.3244950491922375E-2</v>
      </c>
      <c r="H198" s="300">
        <f t="shared" si="112"/>
        <v>4.8562556182070775E-2</v>
      </c>
      <c r="I198" s="300">
        <f t="shared" si="112"/>
        <v>4.5386803956103512E-2</v>
      </c>
      <c r="J198" s="300">
        <f t="shared" si="112"/>
        <v>4.8877774179604629E-2</v>
      </c>
      <c r="K198" s="300">
        <f t="shared" si="112"/>
        <v>5.0346453523475457E-2</v>
      </c>
      <c r="L198" s="300">
        <f t="shared" si="112"/>
        <v>5.7411773251974538E-2</v>
      </c>
      <c r="M198" s="431">
        <v>0.05</v>
      </c>
      <c r="N198" s="431">
        <v>0.05</v>
      </c>
      <c r="O198" s="431">
        <v>0.05</v>
      </c>
      <c r="P198" s="431">
        <v>0.05</v>
      </c>
      <c r="Q198" s="431">
        <v>0.05</v>
      </c>
      <c r="R198" s="117"/>
      <c r="S198" s="117"/>
      <c r="T198" s="117"/>
      <c r="U198" s="130"/>
      <c r="V198" s="192"/>
      <c r="W198" s="192"/>
      <c r="X198" s="111"/>
      <c r="Y198" s="111"/>
      <c r="Z198" s="111"/>
      <c r="AA198" s="111"/>
      <c r="AB198" s="117"/>
      <c r="AC198" s="120"/>
    </row>
    <row r="199" spans="1:29" outlineLevel="1" x14ac:dyDescent="0.15">
      <c r="A199" s="221"/>
      <c r="B199" s="140"/>
      <c r="C199" s="140"/>
      <c r="D199" s="140"/>
      <c r="E199" s="140"/>
      <c r="F199" s="140"/>
      <c r="G199" s="140"/>
      <c r="H199" s="140"/>
      <c r="I199" s="140"/>
      <c r="J199" s="140"/>
      <c r="K199" s="140"/>
      <c r="L199" s="140"/>
      <c r="M199" s="151"/>
      <c r="N199" s="151"/>
      <c r="O199" s="151"/>
      <c r="P199" s="151"/>
      <c r="Q199" s="151"/>
      <c r="R199" s="117"/>
      <c r="S199" s="117"/>
      <c r="T199" s="117"/>
      <c r="U199" s="130"/>
      <c r="V199" s="192"/>
      <c r="W199" s="192"/>
      <c r="X199" s="111"/>
      <c r="Y199" s="111"/>
      <c r="Z199" s="111"/>
      <c r="AA199" s="111"/>
      <c r="AB199" s="117"/>
      <c r="AC199" s="120"/>
    </row>
    <row r="200" spans="1:29" ht="15" outlineLevel="1" x14ac:dyDescent="0.15">
      <c r="A200" s="223" t="s">
        <v>292</v>
      </c>
      <c r="B200" s="140"/>
      <c r="C200" s="255">
        <v>1229.4000000000001</v>
      </c>
      <c r="D200" s="255">
        <v>1572.6</v>
      </c>
      <c r="E200" s="255">
        <v>1916.5</v>
      </c>
      <c r="F200" s="255">
        <v>2081.9</v>
      </c>
      <c r="G200" s="255">
        <v>2123.1</v>
      </c>
      <c r="H200" s="255">
        <v>1762.8</v>
      </c>
      <c r="I200" s="255">
        <v>1880.5</v>
      </c>
      <c r="J200" s="255">
        <v>2471.4</v>
      </c>
      <c r="K200" s="255">
        <v>2585.9</v>
      </c>
      <c r="L200" s="255">
        <v>2334.4</v>
      </c>
      <c r="M200" s="151">
        <f t="shared" si="109"/>
        <v>2318.0499999999997</v>
      </c>
      <c r="N200" s="151">
        <f t="shared" si="107"/>
        <v>2427.4375</v>
      </c>
      <c r="O200" s="151">
        <f t="shared" si="107"/>
        <v>2416.4468750000001</v>
      </c>
      <c r="P200" s="151">
        <f t="shared" si="107"/>
        <v>2374.0835937500001</v>
      </c>
      <c r="Q200" s="151">
        <f t="shared" si="107"/>
        <v>2384.0044921874996</v>
      </c>
      <c r="R200" s="117"/>
      <c r="S200" s="117"/>
      <c r="T200" s="117"/>
      <c r="U200" s="130"/>
      <c r="V200" s="192"/>
      <c r="W200" s="192"/>
      <c r="X200" s="111"/>
      <c r="Y200" s="111"/>
      <c r="Z200" s="111"/>
      <c r="AA200" s="111"/>
      <c r="AB200" s="117"/>
      <c r="AC200" s="120"/>
    </row>
    <row r="201" spans="1:29" outlineLevel="1" x14ac:dyDescent="0.15">
      <c r="A201" s="223"/>
      <c r="B201" s="140"/>
      <c r="C201" s="140"/>
      <c r="D201" s="140"/>
      <c r="E201" s="140"/>
      <c r="F201" s="140"/>
      <c r="G201" s="140"/>
      <c r="H201" s="140"/>
      <c r="I201" s="140"/>
      <c r="J201" s="140"/>
      <c r="K201" s="140"/>
      <c r="L201" s="140"/>
      <c r="P201" s="117"/>
      <c r="Q201" s="117"/>
      <c r="R201" s="117"/>
      <c r="S201" s="117"/>
      <c r="T201" s="117"/>
      <c r="U201" s="266"/>
      <c r="V201" s="192"/>
      <c r="W201" s="192"/>
      <c r="X201" s="111"/>
      <c r="Y201" s="111"/>
      <c r="Z201" s="111"/>
      <c r="AA201" s="111"/>
      <c r="AB201" s="145"/>
      <c r="AC201" s="158"/>
    </row>
    <row r="202" spans="1:29" outlineLevel="1" x14ac:dyDescent="0.15">
      <c r="A202" s="221" t="s">
        <v>121</v>
      </c>
      <c r="B202" s="140">
        <f>CHOOSE(IF($B$1=2,2,1),'GAAP-IFRS'!E41,IF('Broker Actual'!E41="-",'GAAP-IFRS'!E41,'Broker Actual'!E41))</f>
        <v>2882.5</v>
      </c>
      <c r="C202" s="140">
        <f>CHOOSE(IF($B$1=2,2,1),'GAAP-IFRS'!F41,IF('Broker Actual'!F41="-",'GAAP-IFRS'!F41,'Broker Actual'!F41))</f>
        <v>2430.25</v>
      </c>
      <c r="D202" s="140">
        <f>CHOOSE(IF($B$1=2,2,1),'GAAP-IFRS'!G41,IF('Broker Actual'!G41="-",'GAAP-IFRS'!G41,'Broker Actual'!G41))</f>
        <v>2505.4499999999998</v>
      </c>
      <c r="E202" s="140">
        <f>CHOOSE(IF($B$1=2,2,1),'GAAP-IFRS'!H41,IF('Broker Actual'!H41="-",'GAAP-IFRS'!H41,'Broker Actual'!H41))</f>
        <v>2827.5</v>
      </c>
      <c r="F202" s="140">
        <f>CHOOSE(IF($B$1=2,2,1),'GAAP-IFRS'!I41,IF('Broker Actual'!I41="-",'GAAP-IFRS'!I41,'Broker Actual'!I41))</f>
        <v>2999</v>
      </c>
      <c r="G202" s="140">
        <f>CHOOSE(IF($B$1=2,2,1),'GAAP-IFRS'!J41,IF('Broker Actual'!J41="-",'GAAP-IFRS'!J41,'Broker Actual'!J41))</f>
        <v>2938.3</v>
      </c>
      <c r="H202" s="140">
        <f>CHOOSE(IF($B$1=2,2,1),'GAAP-IFRS'!K41,IF('Broker Actual'!K41="-",'GAAP-IFRS'!K41,'Broker Actual'!K41))</f>
        <v>2971.3</v>
      </c>
      <c r="I202" s="140">
        <f>CHOOSE(IF($B$1=2,2,1),'GAAP-IFRS'!L41,IF('Broker Actual'!L41="-",'GAAP-IFRS'!L41,'Broker Actual'!L41))</f>
        <v>3441.3</v>
      </c>
      <c r="J202" s="140">
        <f>CHOOSE(IF($B$1=2,2,1),'GAAP-IFRS'!M41,IF('Broker Actual'!M41="-",'GAAP-IFRS'!M41,'Broker Actual'!M41))</f>
        <v>3451.6</v>
      </c>
      <c r="K202" s="140">
        <f>CHOOSE(IF($B$1=2,2,1),'GAAP-IFRS'!N41,IF('Broker Actual'!N41="-",'GAAP-IFRS'!N41,'Broker Actual'!N41))</f>
        <v>3524.8</v>
      </c>
      <c r="L202" s="140">
        <f>CHOOSE(IF($B$1=2,2,1),'GAAP-IFRS'!O41,IF('Broker Actual'!O41="-",'GAAP-IFRS'!O41,'Broker Actual'!O41))</f>
        <v>3497.7</v>
      </c>
      <c r="M202" s="139">
        <f>M197+M196</f>
        <v>3168.8014945733148</v>
      </c>
      <c r="N202" s="139">
        <f t="shared" ref="N202:Q202" si="113">N197+N196</f>
        <v>3237.2241844449882</v>
      </c>
      <c r="O202" s="139">
        <f t="shared" si="113"/>
        <v>3295.5901633169278</v>
      </c>
      <c r="P202" s="139">
        <f t="shared" si="113"/>
        <v>3355.0886254293082</v>
      </c>
      <c r="Q202" s="139">
        <f t="shared" si="113"/>
        <v>3411.0783383456182</v>
      </c>
      <c r="R202" s="117"/>
      <c r="S202" s="117"/>
      <c r="T202" s="117"/>
      <c r="U202" s="130"/>
      <c r="V202" s="192"/>
      <c r="W202" s="192"/>
      <c r="X202" s="111"/>
      <c r="Y202" s="111"/>
      <c r="Z202" s="111"/>
      <c r="AA202" s="111"/>
      <c r="AB202" s="117"/>
      <c r="AC202" s="120"/>
    </row>
    <row r="203" spans="1:29" outlineLevel="1" x14ac:dyDescent="0.15">
      <c r="A203" s="498" t="s">
        <v>528</v>
      </c>
      <c r="B203" s="140"/>
      <c r="C203" s="138">
        <f>C202/C176</f>
        <v>4.1398794618369636E-2</v>
      </c>
      <c r="D203" s="138">
        <f t="shared" ref="D203:Q203" si="114">D202/D176</f>
        <v>4.0571395259586002E-2</v>
      </c>
      <c r="E203" s="138">
        <f t="shared" si="114"/>
        <v>4.7234584235426195E-2</v>
      </c>
      <c r="F203" s="138">
        <f t="shared" si="114"/>
        <v>4.896470426886014E-2</v>
      </c>
      <c r="G203" s="138">
        <f t="shared" si="114"/>
        <v>4.6401781343271803E-2</v>
      </c>
      <c r="H203" s="138">
        <f t="shared" si="114"/>
        <v>4.8562556182070775E-2</v>
      </c>
      <c r="I203" s="138">
        <f t="shared" si="114"/>
        <v>5.1804181908503819E-2</v>
      </c>
      <c r="J203" s="138">
        <f t="shared" si="114"/>
        <v>4.9240127651136348E-2</v>
      </c>
      <c r="K203" s="138">
        <f t="shared" si="114"/>
        <v>5.0671343549639175E-2</v>
      </c>
      <c r="L203" s="138">
        <f t="shared" si="114"/>
        <v>5.7745265076471985E-2</v>
      </c>
      <c r="M203" s="138">
        <f t="shared" si="114"/>
        <v>5.0639222399845071E-2</v>
      </c>
      <c r="N203" s="138">
        <f t="shared" si="114"/>
        <v>5.0421316701926525E-2</v>
      </c>
      <c r="O203" s="138">
        <f t="shared" si="114"/>
        <v>5.0420156475346006E-2</v>
      </c>
      <c r="P203" s="138">
        <f t="shared" si="114"/>
        <v>5.0431067136727396E-2</v>
      </c>
      <c r="Q203" s="138">
        <f t="shared" si="114"/>
        <v>5.0455548801215333E-2</v>
      </c>
      <c r="R203" s="117"/>
      <c r="S203" s="117"/>
      <c r="T203" s="117"/>
      <c r="U203" s="130"/>
      <c r="V203" s="192"/>
      <c r="W203" s="192"/>
      <c r="X203" s="111"/>
      <c r="Y203" s="111"/>
      <c r="Z203" s="111"/>
      <c r="AA203" s="111"/>
      <c r="AB203" s="117"/>
      <c r="AC203" s="120"/>
    </row>
    <row r="204" spans="1:29" outlineLevel="1" x14ac:dyDescent="0.15">
      <c r="A204" s="223"/>
      <c r="B204" s="140"/>
      <c r="C204" s="140"/>
      <c r="D204" s="140"/>
      <c r="E204" s="140"/>
      <c r="F204" s="140"/>
      <c r="G204" s="140"/>
      <c r="H204" s="140"/>
      <c r="I204" s="140"/>
      <c r="J204" s="140"/>
      <c r="K204" s="140"/>
      <c r="L204" s="140"/>
      <c r="R204" s="117"/>
      <c r="S204" s="117"/>
      <c r="T204" s="117"/>
      <c r="U204" s="266"/>
      <c r="V204" s="192"/>
      <c r="W204" s="192"/>
      <c r="X204" s="111"/>
      <c r="Y204" s="111"/>
      <c r="Z204" s="111"/>
      <c r="AA204" s="111"/>
      <c r="AB204" s="145"/>
      <c r="AC204" s="158"/>
    </row>
    <row r="205" spans="1:29" ht="15" outlineLevel="1" x14ac:dyDescent="0.15">
      <c r="A205" s="223" t="s">
        <v>293</v>
      </c>
      <c r="B205" s="140"/>
      <c r="C205" s="142">
        <f t="shared" ref="C205:L205" si="115">SUM(C184:C200)</f>
        <v>50750.612733617811</v>
      </c>
      <c r="D205" s="142">
        <f t="shared" si="115"/>
        <v>53934.641815662326</v>
      </c>
      <c r="E205" s="142">
        <f t="shared" si="115"/>
        <v>51905.518880255193</v>
      </c>
      <c r="F205" s="142">
        <f t="shared" si="115"/>
        <v>52979.217707849224</v>
      </c>
      <c r="G205" s="142">
        <f t="shared" si="115"/>
        <v>54443.919787040271</v>
      </c>
      <c r="H205" s="142">
        <f t="shared" si="115"/>
        <v>53259.204879534642</v>
      </c>
      <c r="I205" s="142">
        <f t="shared" si="115"/>
        <v>57168.604225532923</v>
      </c>
      <c r="J205" s="142">
        <f t="shared" si="115"/>
        <v>59866.41871494802</v>
      </c>
      <c r="K205" s="142">
        <f t="shared" si="115"/>
        <v>58787.304001131299</v>
      </c>
      <c r="L205" s="142">
        <f t="shared" si="115"/>
        <v>52486.2444620881</v>
      </c>
      <c r="M205" s="142">
        <f t="shared" ref="M205:Q205" si="116">SUM(M184:M200)</f>
        <v>51806.514734573335</v>
      </c>
      <c r="N205" s="142">
        <f t="shared" si="116"/>
        <v>52865.329775645005</v>
      </c>
      <c r="O205" s="142">
        <f t="shared" si="116"/>
        <v>52284.409695124938</v>
      </c>
      <c r="P205" s="142">
        <f t="shared" si="116"/>
        <v>52617.81823159031</v>
      </c>
      <c r="Q205" s="142">
        <f t="shared" si="116"/>
        <v>52685.321677693493</v>
      </c>
      <c r="R205" s="117"/>
      <c r="S205" s="117"/>
      <c r="T205" s="117"/>
      <c r="U205" s="146"/>
      <c r="V205" s="192"/>
      <c r="W205" s="192"/>
      <c r="X205" s="111"/>
      <c r="Y205" s="111"/>
      <c r="Z205" s="111"/>
      <c r="AA205" s="111"/>
      <c r="AB205" s="145"/>
      <c r="AC205" s="158"/>
    </row>
    <row r="206" spans="1:29" outlineLevel="1" x14ac:dyDescent="0.15">
      <c r="A206" s="221"/>
      <c r="B206" s="140"/>
      <c r="C206" s="140"/>
      <c r="D206" s="140"/>
      <c r="E206" s="140"/>
      <c r="F206" s="140"/>
      <c r="G206" s="140"/>
      <c r="H206" s="140"/>
      <c r="I206" s="140"/>
      <c r="J206" s="140"/>
      <c r="K206" s="140"/>
      <c r="L206" s="140"/>
      <c r="P206" s="117"/>
      <c r="Q206" s="117"/>
      <c r="R206" s="117"/>
      <c r="S206" s="117"/>
      <c r="T206" s="117"/>
      <c r="U206" s="191"/>
      <c r="V206" s="192"/>
      <c r="W206" s="192"/>
      <c r="X206" s="111"/>
      <c r="Y206" s="111"/>
      <c r="Z206" s="111"/>
      <c r="AA206" s="111"/>
      <c r="AB206" s="111"/>
      <c r="AC206" s="193"/>
    </row>
    <row r="207" spans="1:29" outlineLevel="2" x14ac:dyDescent="0.15">
      <c r="A207" s="125" t="s">
        <v>284</v>
      </c>
      <c r="B207" s="133" t="e">
        <f>#REF!-B200</f>
        <v>#REF!</v>
      </c>
      <c r="C207" s="134">
        <f t="shared" ref="C207:L207" si="117">C205-C212</f>
        <v>0.26199850691045867</v>
      </c>
      <c r="D207" s="134">
        <f t="shared" si="117"/>
        <v>0.25518199895304861</v>
      </c>
      <c r="E207" s="134">
        <f t="shared" si="117"/>
        <v>0.24810919709125301</v>
      </c>
      <c r="F207" s="134">
        <f t="shared" si="117"/>
        <v>0.24325913724896964</v>
      </c>
      <c r="G207" s="134">
        <f t="shared" si="117"/>
        <v>0.22877262843394419</v>
      </c>
      <c r="H207" s="134">
        <f t="shared" si="117"/>
        <v>0.22603665506903781</v>
      </c>
      <c r="I207" s="134">
        <f t="shared" si="117"/>
        <v>0.21619273203396006</v>
      </c>
      <c r="J207" s="134">
        <f t="shared" si="117"/>
        <v>0.22630177264363738</v>
      </c>
      <c r="K207" s="134">
        <f t="shared" si="117"/>
        <v>0.23924003014690243</v>
      </c>
      <c r="L207" s="134">
        <f t="shared" si="117"/>
        <v>0.23930174976703711</v>
      </c>
      <c r="P207" s="117"/>
      <c r="Q207" s="117"/>
      <c r="R207" s="117"/>
      <c r="S207" s="117"/>
      <c r="T207" s="117"/>
      <c r="U207" s="118"/>
      <c r="V207" s="192"/>
      <c r="W207" s="192"/>
      <c r="X207" s="111"/>
      <c r="Y207" s="111"/>
      <c r="Z207" s="111"/>
      <c r="AA207" s="111"/>
      <c r="AB207" s="117"/>
      <c r="AC207" s="120"/>
    </row>
    <row r="208" spans="1:29" outlineLevel="2" x14ac:dyDescent="0.15">
      <c r="A208" s="128" t="s">
        <v>285</v>
      </c>
      <c r="B208" s="135" t="e">
        <f>B207/B$37</f>
        <v>#REF!</v>
      </c>
      <c r="C208" s="136">
        <f t="shared" ref="C208:L208" si="118">C207/C205</f>
        <v>5.1624698264363564E-6</v>
      </c>
      <c r="D208" s="136">
        <f t="shared" si="118"/>
        <v>4.7313190625277344E-6</v>
      </c>
      <c r="E208" s="136">
        <f t="shared" si="118"/>
        <v>4.7800157371248914E-6</v>
      </c>
      <c r="F208" s="136">
        <f t="shared" si="118"/>
        <v>4.5915954929800556E-6</v>
      </c>
      <c r="G208" s="136">
        <f t="shared" si="118"/>
        <v>4.2019867292582563E-6</v>
      </c>
      <c r="H208" s="136">
        <f t="shared" si="118"/>
        <v>4.244086174029507E-6</v>
      </c>
      <c r="I208" s="136">
        <f t="shared" si="118"/>
        <v>3.7816688891173419E-6</v>
      </c>
      <c r="J208" s="136">
        <f t="shared" si="118"/>
        <v>3.7801120812181166E-6</v>
      </c>
      <c r="K208" s="136">
        <f t="shared" si="118"/>
        <v>4.0695866941320958E-6</v>
      </c>
      <c r="L208" s="136">
        <f t="shared" si="118"/>
        <v>4.5593231563727083E-6</v>
      </c>
      <c r="P208" s="117"/>
      <c r="Q208" s="117"/>
      <c r="R208" s="117"/>
      <c r="S208" s="117"/>
      <c r="T208" s="117"/>
      <c r="U208" s="118"/>
      <c r="V208" s="192"/>
      <c r="W208" s="192"/>
      <c r="X208" s="111"/>
      <c r="Y208" s="111"/>
      <c r="Z208" s="111"/>
      <c r="AA208" s="111"/>
      <c r="AB208" s="117"/>
      <c r="AC208" s="120"/>
    </row>
    <row r="209" spans="1:29" outlineLevel="2" x14ac:dyDescent="0.15">
      <c r="A209" s="128"/>
      <c r="B209" s="135"/>
      <c r="C209" s="136"/>
      <c r="D209" s="136"/>
      <c r="E209" s="136"/>
      <c r="F209" s="136"/>
      <c r="G209" s="136"/>
      <c r="H209" s="136"/>
      <c r="I209" s="136"/>
      <c r="J209" s="136"/>
      <c r="K209" s="136"/>
      <c r="L209" s="136"/>
      <c r="P209" s="117"/>
      <c r="Q209" s="117"/>
      <c r="R209" s="117"/>
      <c r="S209" s="117"/>
      <c r="T209" s="117"/>
      <c r="U209" s="118"/>
      <c r="V209" s="192"/>
      <c r="W209" s="192"/>
      <c r="X209" s="111"/>
      <c r="Y209" s="111"/>
      <c r="Z209" s="111"/>
      <c r="AA209" s="111"/>
      <c r="AB209" s="117"/>
      <c r="AC209" s="120"/>
    </row>
    <row r="210" spans="1:29" outlineLevel="2" x14ac:dyDescent="0.15">
      <c r="A210" s="128" t="s">
        <v>118</v>
      </c>
      <c r="B210" s="135"/>
      <c r="C210" s="286">
        <f>C194+C196+C190+C184+C200</f>
        <v>3230.7</v>
      </c>
      <c r="D210" s="286">
        <f t="shared" ref="D210:K210" si="119">D194+D196+D190+D184+D200</f>
        <v>3650.4</v>
      </c>
      <c r="E210" s="286">
        <f>E194+E196+E190+E184+E200</f>
        <v>4143.3</v>
      </c>
      <c r="F210" s="286">
        <f t="shared" si="119"/>
        <v>3974.1000000000004</v>
      </c>
      <c r="G210" s="286">
        <f t="shared" si="119"/>
        <v>4304.2000000000007</v>
      </c>
      <c r="H210" s="286">
        <f t="shared" si="119"/>
        <v>3845.8</v>
      </c>
      <c r="I210" s="286">
        <f t="shared" si="119"/>
        <v>4672.8999999999996</v>
      </c>
      <c r="J210" s="286">
        <f t="shared" si="119"/>
        <v>4701.5</v>
      </c>
      <c r="K210" s="286">
        <f t="shared" si="119"/>
        <v>5022.8</v>
      </c>
      <c r="L210" s="286">
        <f>L194+L196+L190+L184+L200</f>
        <v>8651.2000000000007</v>
      </c>
      <c r="M210" s="286">
        <f t="shared" ref="M210:Q210" si="120">M194+M196+M190+M184+M200</f>
        <v>6864.6862000000001</v>
      </c>
      <c r="N210" s="286">
        <f t="shared" si="120"/>
        <v>7003.5422220000009</v>
      </c>
      <c r="O210" s="286">
        <f t="shared" si="120"/>
        <v>6222.7332601560001</v>
      </c>
      <c r="P210" s="286">
        <f t="shared" si="120"/>
        <v>6109.7952417924798</v>
      </c>
      <c r="Q210" s="286">
        <f t="shared" si="120"/>
        <v>6016.0370073356735</v>
      </c>
      <c r="R210" s="117"/>
      <c r="S210" s="117"/>
      <c r="T210" s="117"/>
      <c r="U210" s="118"/>
      <c r="V210" s="192"/>
      <c r="W210" s="192"/>
      <c r="X210" s="111"/>
      <c r="Y210" s="111"/>
      <c r="Z210" s="111"/>
      <c r="AA210" s="111"/>
      <c r="AB210" s="117"/>
      <c r="AC210" s="120"/>
    </row>
    <row r="211" spans="1:29" x14ac:dyDescent="0.15">
      <c r="V211" s="192"/>
      <c r="W211" s="192"/>
      <c r="X211" s="111"/>
      <c r="Y211" s="111"/>
      <c r="Z211" s="111"/>
      <c r="AA211" s="111"/>
    </row>
    <row r="212" spans="1:29" outlineLevel="1" x14ac:dyDescent="0.15">
      <c r="A212" s="222" t="s">
        <v>123</v>
      </c>
      <c r="B212" s="140">
        <f>CHOOSE(IF($B$1=2,2,1),'GAAP-IFRS'!E42,IF('Broker Actual'!E42="-",'GAAP-IFRS'!E42,'Broker Actual'!E42))</f>
        <v>49470.2</v>
      </c>
      <c r="C212" s="140">
        <f>CHOOSE(IF($B$1=2,2,1),'GAAP-IFRS'!F42,IF('Broker Actual'!F42="-",'GAAP-IFRS'!F42,'Broker Actual'!F42))</f>
        <v>50750.3507351109</v>
      </c>
      <c r="D212" s="140">
        <f>CHOOSE(IF($B$1=2,2,1),'GAAP-IFRS'!G42,IF('Broker Actual'!G42="-",'GAAP-IFRS'!G42,'Broker Actual'!G42))</f>
        <v>53934.386633663373</v>
      </c>
      <c r="E212" s="140">
        <f>CHOOSE(IF($B$1=2,2,1),'GAAP-IFRS'!H42,IF('Broker Actual'!H42="-",'GAAP-IFRS'!H42,'Broker Actual'!H42))</f>
        <v>51905.270771058102</v>
      </c>
      <c r="F212" s="140">
        <f>CHOOSE(IF($B$1=2,2,1),'GAAP-IFRS'!I42,IF('Broker Actual'!I42="-",'GAAP-IFRS'!I42,'Broker Actual'!I42))</f>
        <v>52978.974448711975</v>
      </c>
      <c r="G212" s="140">
        <f>CHOOSE(IF($B$1=2,2,1),'GAAP-IFRS'!J42,IF('Broker Actual'!J42="-",'GAAP-IFRS'!J42,'Broker Actual'!J42))</f>
        <v>54443.691014411837</v>
      </c>
      <c r="H212" s="140">
        <f>CHOOSE(IF($B$1=2,2,1),'GAAP-IFRS'!K42,IF('Broker Actual'!K42="-",'GAAP-IFRS'!K42,'Broker Actual'!K42))</f>
        <v>53258.978842879573</v>
      </c>
      <c r="I212" s="140">
        <f>CHOOSE(IF($B$1=2,2,1),'GAAP-IFRS'!L42,IF('Broker Actual'!L42="-",'GAAP-IFRS'!L42,'Broker Actual'!L42))</f>
        <v>57168.388032800889</v>
      </c>
      <c r="J212" s="140">
        <f>CHOOSE(IF($B$1=2,2,1),'GAAP-IFRS'!M42,IF('Broker Actual'!M42="-",'GAAP-IFRS'!M42,'Broker Actual'!M42))</f>
        <v>59866.192413175377</v>
      </c>
      <c r="K212" s="140">
        <f>CHOOSE(IF($B$1=2,2,1),'GAAP-IFRS'!N42,IF('Broker Actual'!N42="-",'GAAP-IFRS'!N42,'Broker Actual'!N42))</f>
        <v>58787.064761101152</v>
      </c>
      <c r="L212" s="140">
        <f>CHOOSE(IF($B$1=2,2,1),'GAAP-IFRS'!O42,IF('Broker Actual'!O42="-",'GAAP-IFRS'!O42,'Broker Actual'!O42))</f>
        <v>52486.005160338333</v>
      </c>
      <c r="M212" s="139">
        <f>M205</f>
        <v>51806.514734573335</v>
      </c>
      <c r="N212" s="139">
        <f t="shared" ref="N212:Q212" si="121">N205</f>
        <v>52865.329775645005</v>
      </c>
      <c r="O212" s="139">
        <f t="shared" si="121"/>
        <v>52284.409695124938</v>
      </c>
      <c r="P212" s="139">
        <f t="shared" si="121"/>
        <v>52617.81823159031</v>
      </c>
      <c r="Q212" s="139">
        <f t="shared" si="121"/>
        <v>52685.321677693493</v>
      </c>
      <c r="R212" s="117"/>
      <c r="S212" s="117"/>
      <c r="T212" s="117"/>
      <c r="U212" s="118"/>
      <c r="V212" s="188"/>
      <c r="W212" s="188"/>
      <c r="X212" s="189"/>
      <c r="Y212" s="189"/>
      <c r="Z212" s="189"/>
      <c r="AA212" s="111"/>
      <c r="AB212" s="117"/>
      <c r="AC212" s="120"/>
    </row>
    <row r="213" spans="1:29" outlineLevel="1" x14ac:dyDescent="0.15">
      <c r="A213" s="183"/>
      <c r="B213" s="117"/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P213" s="117"/>
      <c r="Q213" s="117"/>
      <c r="R213" s="117"/>
      <c r="S213" s="117"/>
      <c r="T213" s="117"/>
      <c r="U213" s="146"/>
      <c r="V213" s="188"/>
      <c r="W213" s="188"/>
      <c r="X213" s="189"/>
      <c r="Y213" s="189"/>
      <c r="Z213" s="189"/>
      <c r="AA213" s="111"/>
      <c r="AB213" s="145"/>
      <c r="AC213" s="158"/>
    </row>
    <row r="214" spans="1:29" outlineLevel="1" x14ac:dyDescent="0.15">
      <c r="A214" s="183" t="s">
        <v>124</v>
      </c>
      <c r="B214" s="140">
        <f>CHOOSE(IF($B$1=2,2,1),'GAAP-IFRS'!E44,IF('Broker Actual'!E44="-",'GAAP-IFRS'!E44,'Broker Actual'!E44))</f>
        <v>0</v>
      </c>
      <c r="C214" s="140">
        <f>CHOOSE(IF($B$1=2,2,1),'GAAP-IFRS'!F44,IF('Broker Actual'!F44="-",'GAAP-IFRS'!F44,'Broker Actual'!F44))</f>
        <v>0</v>
      </c>
      <c r="D214" s="140">
        <f>CHOOSE(IF($B$1=2,2,1),'GAAP-IFRS'!G44,IF('Broker Actual'!G44="-",'GAAP-IFRS'!G44,'Broker Actual'!G44))</f>
        <v>0</v>
      </c>
      <c r="E214" s="140">
        <f>CHOOSE(IF($B$1=2,2,1),'GAAP-IFRS'!H44,IF('Broker Actual'!H44="-",'GAAP-IFRS'!H44,'Broker Actual'!H44))</f>
        <v>0</v>
      </c>
      <c r="F214" s="140">
        <f>CHOOSE(IF($B$1=2,2,1),'GAAP-IFRS'!I44,IF('Broker Actual'!I44="-",'GAAP-IFRS'!I44,'Broker Actual'!I44))</f>
        <v>0</v>
      </c>
      <c r="G214" s="140">
        <f>CHOOSE(IF($B$1=2,2,1),'GAAP-IFRS'!J44,IF('Broker Actual'!J44="-",'GAAP-IFRS'!J44,'Broker Actual'!J44))</f>
        <v>0</v>
      </c>
      <c r="H214" s="140">
        <f>CHOOSE(IF($B$1=2,2,1),'GAAP-IFRS'!K44,IF('Broker Actual'!K44="-",'GAAP-IFRS'!K44,'Broker Actual'!K44))</f>
        <v>0</v>
      </c>
      <c r="I214" s="140">
        <f>CHOOSE(IF($B$1=2,2,1),'GAAP-IFRS'!L44,IF('Broker Actual'!L44="-",'GAAP-IFRS'!L44,'Broker Actual'!L44))</f>
        <v>0</v>
      </c>
      <c r="J214" s="140">
        <f>CHOOSE(IF($B$1=2,2,1),'GAAP-IFRS'!M44,IF('Broker Actual'!M44="-",'GAAP-IFRS'!M44,'Broker Actual'!M44))</f>
        <v>0</v>
      </c>
      <c r="K214" s="140">
        <f>CHOOSE(IF($B$1=2,2,1),'GAAP-IFRS'!N44,IF('Broker Actual'!N44="-",'GAAP-IFRS'!N44,'Broker Actual'!N44))</f>
        <v>0</v>
      </c>
      <c r="L214" s="140">
        <f>CHOOSE(IF($B$1=2,2,1),'GAAP-IFRS'!O44,IF('Broker Actual'!O44="-",'GAAP-IFRS'!O44,'Broker Actual'!O44))</f>
        <v>0</v>
      </c>
      <c r="M214" s="139">
        <v>0</v>
      </c>
      <c r="N214" s="139">
        <v>0</v>
      </c>
      <c r="O214" s="139">
        <v>0</v>
      </c>
      <c r="P214" s="139">
        <v>0</v>
      </c>
      <c r="Q214" s="139">
        <v>0</v>
      </c>
      <c r="R214" s="117"/>
      <c r="S214" s="117"/>
      <c r="T214" s="117"/>
      <c r="U214" s="194"/>
      <c r="V214" s="119" t="s">
        <v>78</v>
      </c>
      <c r="W214" s="119" t="s">
        <v>130</v>
      </c>
      <c r="X214" s="117" t="str" cm="1">
        <f t="array" ref="X214">_xll.FDSC("--",$A$1,""&amp;$V214&amp;"("&amp;$W214&amp;","&amp;D$2&amp;",ANNUAL_ROLL,+1,0,,,'CURRENCY="&amp;$E$1&amp;"')")</f>
        <v>--</v>
      </c>
      <c r="Y214" s="117" t="str" cm="1">
        <f t="array" ref="Y214">_xll.FDSC("--",$A$1,""&amp;$V214&amp;"("&amp;$W214&amp;","&amp;D$2&amp;",ANNUAL_ROLL,+2,0,,,'CURRENCY="&amp;$E$1&amp;"')")</f>
        <v>--</v>
      </c>
      <c r="Z214" s="117" t="str" cm="1">
        <f t="array" ref="Z214">_xll.FDSC("--",$A$1,""&amp;$V214&amp;"("&amp;$W214&amp;","&amp;D$2&amp;",ANNUAL_ROLL,+3,0,,,'CURRENCY="&amp;$E$1&amp;"')")</f>
        <v>--</v>
      </c>
      <c r="AA214" s="111"/>
      <c r="AB214" s="117"/>
      <c r="AC214" s="120"/>
    </row>
    <row r="215" spans="1:29" outlineLevel="1" x14ac:dyDescent="0.15">
      <c r="A215" s="183" t="s">
        <v>125</v>
      </c>
      <c r="B215" s="140">
        <f>CHOOSE(IF($B$1=2,2,1),'GAAP-IFRS'!E45,IF('Broker Actual'!E45="-",'GAAP-IFRS'!E45,'Broker Actual'!E45))</f>
        <v>8612.6</v>
      </c>
      <c r="C215" s="140">
        <f>CHOOSE(IF($B$1=2,2,1),'GAAP-IFRS'!F45,IF('Broker Actual'!F45="-",'GAAP-IFRS'!F45,'Broker Actual'!F45))</f>
        <v>8659.1</v>
      </c>
      <c r="D215" s="140">
        <f>CHOOSE(IF($B$1=2,2,1),'GAAP-IFRS'!G45,IF('Broker Actual'!G45="-",'GAAP-IFRS'!G45,'Broker Actual'!G45))</f>
        <v>8552.4</v>
      </c>
      <c r="E215" s="140">
        <f>CHOOSE(IF($B$1=2,2,1),'GAAP-IFRS'!H45,IF('Broker Actual'!H45="-",'GAAP-IFRS'!H45,'Broker Actual'!H45))</f>
        <v>8663.9</v>
      </c>
      <c r="F215" s="140">
        <f>CHOOSE(IF($B$1=2,2,1),'GAAP-IFRS'!I45,IF('Broker Actual'!I45="-",'GAAP-IFRS'!I45,'Broker Actual'!I45))</f>
        <v>8968</v>
      </c>
      <c r="G215" s="140">
        <f>CHOOSE(IF($B$1=2,2,1),'GAAP-IFRS'!J45,IF('Broker Actual'!J45="-",'GAAP-IFRS'!J45,'Broker Actual'!J45))</f>
        <v>9574.9</v>
      </c>
      <c r="H215" s="140">
        <f>CHOOSE(IF($B$1=2,2,1),'GAAP-IFRS'!K45,IF('Broker Actual'!K45="-",'GAAP-IFRS'!K45,'Broker Actual'!K45))</f>
        <v>8621.7999999999993</v>
      </c>
      <c r="I215" s="140">
        <f>CHOOSE(IF($B$1=2,2,1),'GAAP-IFRS'!L45,IF('Broker Actual'!L45="-",'GAAP-IFRS'!L45,'Broker Actual'!L45))</f>
        <v>9965</v>
      </c>
      <c r="J215" s="140">
        <f>CHOOSE(IF($B$1=2,2,1),'GAAP-IFRS'!M45,IF('Broker Actual'!M45="-",'GAAP-IFRS'!M45,'Broker Actual'!M45))</f>
        <v>10871</v>
      </c>
      <c r="K215" s="140">
        <f>CHOOSE(IF($B$1=2,2,1),'GAAP-IFRS'!N45,IF('Broker Actual'!N45="-",'GAAP-IFRS'!N45,'Broker Actual'!N45))</f>
        <v>11239.2</v>
      </c>
      <c r="L215" s="140">
        <f>CHOOSE(IF($B$1=2,2,1),'GAAP-IFRS'!O45,IF('Broker Actual'!O45="-",'GAAP-IFRS'!O45,'Broker Actual'!O45))</f>
        <v>9197.5</v>
      </c>
      <c r="M215" s="139">
        <f>M176-M205</f>
        <v>10769.515156892958</v>
      </c>
      <c r="N215" s="139">
        <f>N176-N205</f>
        <v>11338.153913254748</v>
      </c>
      <c r="O215" s="139">
        <f t="shared" ref="O215:Q215" si="122">O176-O205</f>
        <v>13078.143571213615</v>
      </c>
      <c r="P215" s="139">
        <f t="shared" si="122"/>
        <v>13910.39177699585</v>
      </c>
      <c r="Q215" s="139">
        <f t="shared" si="122"/>
        <v>14920.291964218872</v>
      </c>
      <c r="R215" s="117"/>
      <c r="S215" s="117"/>
      <c r="T215" s="117"/>
      <c r="U215" s="118"/>
      <c r="V215" s="119"/>
      <c r="W215" s="119"/>
      <c r="X215" s="117"/>
      <c r="Y215" s="117"/>
      <c r="Z215" s="117"/>
      <c r="AA215" s="111"/>
      <c r="AB215" s="117"/>
      <c r="AC215" s="120"/>
    </row>
    <row r="216" spans="1:29" outlineLevel="1" x14ac:dyDescent="0.15">
      <c r="A216" s="184" t="s">
        <v>531</v>
      </c>
      <c r="B216" s="140"/>
      <c r="C216" s="300">
        <f>C215/C176</f>
        <v>0.14750593662377307</v>
      </c>
      <c r="D216" s="300">
        <f t="shared" ref="D216:Q216" si="123">D215/D176</f>
        <v>0.13849120949054394</v>
      </c>
      <c r="E216" s="300">
        <f t="shared" si="123"/>
        <v>0.14473411648357523</v>
      </c>
      <c r="F216" s="300">
        <f t="shared" si="123"/>
        <v>0.146420629504214</v>
      </c>
      <c r="G216" s="300">
        <f t="shared" si="123"/>
        <v>0.15120730224405035</v>
      </c>
      <c r="H216" s="300">
        <f t="shared" si="123"/>
        <v>0.14091362261992318</v>
      </c>
      <c r="I216" s="300">
        <f t="shared" si="123"/>
        <v>0.15000978488310829</v>
      </c>
      <c r="J216" s="300">
        <f t="shared" si="123"/>
        <v>0.15508443263863231</v>
      </c>
      <c r="K216" s="300">
        <f t="shared" si="123"/>
        <v>0.16157097265748541</v>
      </c>
      <c r="L216" s="300">
        <f t="shared" si="123"/>
        <v>0.15184609187204481</v>
      </c>
      <c r="M216" s="300">
        <f>M215/M176</f>
        <v>0.17210288309392466</v>
      </c>
      <c r="N216" s="300">
        <f t="shared" si="123"/>
        <v>0.17659717606904593</v>
      </c>
      <c r="O216" s="300">
        <f t="shared" si="123"/>
        <v>0.20008617958853217</v>
      </c>
      <c r="P216" s="300">
        <f t="shared" si="123"/>
        <v>0.20909012545505987</v>
      </c>
      <c r="Q216" s="300">
        <f t="shared" si="123"/>
        <v>0.22069605111858609</v>
      </c>
      <c r="R216" s="117"/>
      <c r="S216" s="117"/>
      <c r="T216" s="117"/>
      <c r="U216" s="118"/>
      <c r="V216" s="119"/>
      <c r="W216" s="119"/>
      <c r="X216" s="117"/>
      <c r="Y216" s="117"/>
      <c r="Z216" s="117"/>
      <c r="AA216" s="111"/>
      <c r="AB216" s="117"/>
      <c r="AC216" s="120"/>
    </row>
    <row r="217" spans="1:29" outlineLevel="1" x14ac:dyDescent="0.15">
      <c r="A217" s="184"/>
      <c r="B217" s="140"/>
      <c r="C217" s="300"/>
      <c r="D217" s="300"/>
      <c r="E217" s="300"/>
      <c r="F217" s="300"/>
      <c r="G217" s="300"/>
      <c r="H217" s="300"/>
      <c r="I217" s="300"/>
      <c r="J217" s="300"/>
      <c r="K217" s="300"/>
      <c r="L217" s="300"/>
      <c r="M217" s="300"/>
      <c r="N217" s="300"/>
      <c r="O217" s="300"/>
      <c r="P217" s="300"/>
      <c r="Q217" s="300"/>
      <c r="R217" s="117"/>
      <c r="S217" s="117"/>
      <c r="T217" s="117"/>
      <c r="U217" s="118"/>
      <c r="V217" s="119"/>
      <c r="W217" s="119"/>
      <c r="X217" s="117"/>
      <c r="Y217" s="117"/>
      <c r="Z217" s="117"/>
      <c r="AA217" s="111"/>
      <c r="AB217" s="117"/>
      <c r="AC217" s="120"/>
    </row>
    <row r="218" spans="1:29" outlineLevel="2" x14ac:dyDescent="0.15">
      <c r="A218" s="94" t="s">
        <v>592</v>
      </c>
      <c r="B218" s="494"/>
      <c r="C218" s="495">
        <f t="shared" ref="C218:L218" si="124">C122</f>
        <v>265.94920000000002</v>
      </c>
      <c r="D218" s="495">
        <f t="shared" si="124"/>
        <v>256.65280000000001</v>
      </c>
      <c r="E218" s="495">
        <f t="shared" si="124"/>
        <v>247.85470000000001</v>
      </c>
      <c r="F218" s="495">
        <f t="shared" si="124"/>
        <v>235.97919999999999</v>
      </c>
      <c r="G218" s="495">
        <f t="shared" si="124"/>
        <v>227.33519999999999</v>
      </c>
      <c r="H218" s="495">
        <f t="shared" si="124"/>
        <v>220.05860000000001</v>
      </c>
      <c r="I218" s="495">
        <f t="shared" si="124"/>
        <v>209.8544</v>
      </c>
      <c r="J218" s="495">
        <f t="shared" si="124"/>
        <v>203.75530000000001</v>
      </c>
      <c r="K218" s="495">
        <f t="shared" si="124"/>
        <v>204.84790000000001</v>
      </c>
      <c r="L218" s="495">
        <f t="shared" si="124"/>
        <v>202.10939999999999</v>
      </c>
      <c r="M218" s="496">
        <f>M121</f>
        <v>193.18045702354888</v>
      </c>
      <c r="N218" s="496">
        <f>N121</f>
        <v>185.05323492245537</v>
      </c>
      <c r="O218" s="496">
        <f>O121</f>
        <v>173.61635619889819</v>
      </c>
      <c r="P218" s="496">
        <f>P121</f>
        <v>168.3701257724039</v>
      </c>
      <c r="Q218" s="496">
        <f>Q121</f>
        <v>168.3869002156444</v>
      </c>
      <c r="R218" s="117"/>
      <c r="S218" s="117"/>
      <c r="T218" s="117"/>
      <c r="U218" s="118"/>
      <c r="V218" s="179"/>
      <c r="W218" s="179"/>
      <c r="X218" s="167"/>
      <c r="Y218" s="167"/>
      <c r="Z218" s="167"/>
      <c r="AA218" s="159"/>
      <c r="AB218" s="117"/>
      <c r="AC218" s="120"/>
    </row>
    <row r="219" spans="1:29" ht="34.5" customHeight="1" outlineLevel="1" x14ac:dyDescent="0.15">
      <c r="A219" s="183" t="s">
        <v>543</v>
      </c>
      <c r="B219" s="142"/>
      <c r="C219" s="142">
        <f>C215/C218</f>
        <v>32.559225596467293</v>
      </c>
      <c r="D219" s="142">
        <f t="shared" ref="D219:L219" si="125">D215/D218</f>
        <v>33.322839259887282</v>
      </c>
      <c r="E219" s="142">
        <f t="shared" si="125"/>
        <v>34.955560657110794</v>
      </c>
      <c r="F219" s="142">
        <f t="shared" si="125"/>
        <v>38.003349447747937</v>
      </c>
      <c r="G219" s="142">
        <f t="shared" si="125"/>
        <v>42.117982608940459</v>
      </c>
      <c r="H219" s="142">
        <f t="shared" si="125"/>
        <v>39.179563988864778</v>
      </c>
      <c r="I219" s="142">
        <f t="shared" si="125"/>
        <v>47.485304096554565</v>
      </c>
      <c r="J219" s="142">
        <f t="shared" si="125"/>
        <v>53.353213388805102</v>
      </c>
      <c r="K219" s="142">
        <f t="shared" si="125"/>
        <v>54.86607380402728</v>
      </c>
      <c r="L219" s="142">
        <f t="shared" si="125"/>
        <v>45.507532059369829</v>
      </c>
      <c r="M219" s="139">
        <f>M215/M218</f>
        <v>55.748471262702019</v>
      </c>
      <c r="N219" s="139">
        <f>N215/N218</f>
        <v>61.269687709084806</v>
      </c>
      <c r="O219" s="139">
        <v>49.41</v>
      </c>
      <c r="P219" s="139">
        <f t="shared" ref="P219:Q219" si="126">P215/P218</f>
        <v>82.617933039970339</v>
      </c>
      <c r="Q219" s="139">
        <f t="shared" si="126"/>
        <v>88.607201303137145</v>
      </c>
      <c r="R219" s="117"/>
      <c r="S219" s="117"/>
      <c r="T219" s="117"/>
      <c r="U219" s="118"/>
      <c r="V219" s="119"/>
      <c r="W219" s="119"/>
      <c r="X219" s="117"/>
      <c r="Y219" s="117"/>
      <c r="Z219" s="117"/>
      <c r="AA219" s="111"/>
      <c r="AB219" s="117"/>
      <c r="AC219" s="120"/>
    </row>
    <row r="220" spans="1:29" ht="34.5" customHeight="1" outlineLevel="1" x14ac:dyDescent="0.15">
      <c r="A220" s="183"/>
      <c r="B220" s="140"/>
      <c r="C220" s="493"/>
      <c r="D220" s="493"/>
      <c r="E220" s="493"/>
      <c r="F220" s="493"/>
      <c r="G220" s="493"/>
      <c r="H220" s="493"/>
      <c r="I220" s="493"/>
      <c r="J220" s="493"/>
      <c r="K220" s="493"/>
      <c r="L220" s="493"/>
      <c r="M220" s="139"/>
      <c r="N220" s="139"/>
      <c r="O220" s="139"/>
      <c r="P220" s="117"/>
      <c r="Q220" s="117"/>
      <c r="R220" s="117"/>
      <c r="S220" s="117"/>
      <c r="T220" s="117"/>
      <c r="U220" s="118"/>
      <c r="V220" s="119"/>
      <c r="W220" s="119"/>
      <c r="X220" s="117"/>
      <c r="Y220" s="117"/>
      <c r="Z220" s="117"/>
      <c r="AA220" s="111"/>
      <c r="AB220" s="117"/>
      <c r="AC220" s="120"/>
    </row>
    <row r="221" spans="1:29" outlineLevel="1" x14ac:dyDescent="0.15">
      <c r="A221" s="186" t="s">
        <v>127</v>
      </c>
      <c r="B221" s="140">
        <f>CHOOSE(IF($B$1=2,2,1),'GAAP-IFRS'!E46,IF('Broker Actual'!E46="-",'GAAP-IFRS'!E46,'Broker Actual'!E46))</f>
        <v>58082.8</v>
      </c>
      <c r="C221" s="140">
        <f>CHOOSE(IF($B$1=2,2,1),'GAAP-IFRS'!F46,IF('Broker Actual'!F46="-",'GAAP-IFRS'!F46,'Broker Actual'!F46))</f>
        <v>55931.8</v>
      </c>
      <c r="D221" s="140">
        <f>CHOOSE(IF($B$1=2,2,1),'GAAP-IFRS'!G46,IF('Broker Actual'!G46="-",'GAAP-IFRS'!G46,'Broker Actual'!G46))</f>
        <v>59722.2</v>
      </c>
      <c r="E221" s="140">
        <f>CHOOSE(IF($B$1=2,2,1),'GAAP-IFRS'!H46,IF('Broker Actual'!H46="-",'GAAP-IFRS'!H46,'Broker Actual'!H46))</f>
        <v>57158</v>
      </c>
      <c r="F221" s="140">
        <f>CHOOSE(IF($B$1=2,2,1),'GAAP-IFRS'!I46,IF('Broker Actual'!I46="-",'GAAP-IFRS'!I46,'Broker Actual'!I46))</f>
        <v>58698.7</v>
      </c>
      <c r="G221" s="140">
        <f>CHOOSE(IF($B$1=2,2,1),'GAAP-IFRS'!J46,IF('Broker Actual'!J46="-",'GAAP-IFRS'!J46,'Broker Actual'!J46))</f>
        <v>60222.6</v>
      </c>
      <c r="H221" s="140">
        <f>CHOOSE(IF($B$1=2,2,1),'GAAP-IFRS'!K46,IF('Broker Actual'!K46="-",'GAAP-IFRS'!K46,'Broker Actual'!K46))</f>
        <v>57950.6</v>
      </c>
      <c r="I221" s="140">
        <f>CHOOSE(IF($B$1=2,2,1),'GAAP-IFRS'!L46,IF('Broker Actual'!L46="-",'GAAP-IFRS'!L46,'Broker Actual'!L46))</f>
        <v>63580</v>
      </c>
      <c r="J221" s="140">
        <f>CHOOSE(IF($B$1=2,2,1),'GAAP-IFRS'!M46,IF('Broker Actual'!M46="-",'GAAP-IFRS'!M46,'Broker Actual'!M46))</f>
        <v>60683.5</v>
      </c>
      <c r="K221" s="140">
        <f>CHOOSE(IF($B$1=2,2,1),'GAAP-IFRS'!N46,IF('Broker Actual'!N46="-",'GAAP-IFRS'!N46,'Broker Actual'!N46))</f>
        <v>59530.3</v>
      </c>
      <c r="L221" s="140">
        <f>CHOOSE(IF($B$1=2,2,1),'GAAP-IFRS'!O46,IF('Broker Actual'!O46="-",'GAAP-IFRS'!O46,'Broker Actual'!O46))</f>
        <v>50900.5</v>
      </c>
      <c r="M221" s="139">
        <f>M215+M205</f>
        <v>62576.029891466293</v>
      </c>
      <c r="N221" s="139">
        <f>N215+N205</f>
        <v>64203.483688899752</v>
      </c>
      <c r="O221" s="139">
        <f>O215+O205</f>
        <v>65362.553266338553</v>
      </c>
      <c r="P221" s="139">
        <f>P215+P205</f>
        <v>66528.21000858616</v>
      </c>
      <c r="Q221" s="139">
        <f>Q215+Q205</f>
        <v>67605.613641912365</v>
      </c>
      <c r="R221" s="117"/>
      <c r="S221" s="117"/>
      <c r="T221" s="117"/>
      <c r="U221" s="118"/>
      <c r="V221" s="119"/>
      <c r="W221" s="119"/>
      <c r="X221" s="117"/>
      <c r="Y221" s="117"/>
      <c r="Z221" s="117"/>
      <c r="AA221" s="111"/>
      <c r="AB221" s="117"/>
      <c r="AC221" s="120"/>
    </row>
    <row r="222" spans="1:29" ht="34.5" customHeight="1" outlineLevel="1" x14ac:dyDescent="0.15">
      <c r="A222" s="183"/>
      <c r="B222" s="140"/>
      <c r="C222" s="140"/>
      <c r="D222" s="140"/>
      <c r="E222" s="140"/>
      <c r="F222" s="140"/>
      <c r="G222" s="140"/>
      <c r="H222" s="140"/>
      <c r="I222" s="140"/>
      <c r="J222" s="140"/>
      <c r="K222" s="140"/>
      <c r="L222" s="140"/>
      <c r="M222" s="139"/>
      <c r="N222" s="139"/>
      <c r="O222" s="139"/>
      <c r="P222" s="117"/>
      <c r="Q222" s="117"/>
      <c r="R222" s="117"/>
      <c r="S222" s="117"/>
      <c r="T222" s="117"/>
      <c r="U222" s="118"/>
      <c r="V222" s="119"/>
      <c r="W222" s="119"/>
      <c r="X222" s="117"/>
      <c r="Y222" s="117"/>
      <c r="Z222" s="117"/>
      <c r="AA222" s="111"/>
      <c r="AB222" s="117"/>
      <c r="AC222" s="120"/>
    </row>
    <row r="224" spans="1:29" outlineLevel="1" x14ac:dyDescent="0.15">
      <c r="B224" s="140"/>
      <c r="C224" s="140"/>
      <c r="D224" s="140"/>
      <c r="E224" s="140"/>
      <c r="F224" s="140"/>
      <c r="G224" s="140"/>
      <c r="H224" s="140"/>
      <c r="I224" s="140"/>
      <c r="J224" s="140"/>
      <c r="K224" s="140"/>
      <c r="L224" s="140"/>
      <c r="P224" s="117"/>
      <c r="Q224" s="117"/>
      <c r="R224" s="117"/>
      <c r="S224" s="117"/>
      <c r="T224" s="117"/>
      <c r="U224" s="146"/>
      <c r="V224" s="119"/>
      <c r="W224" s="119"/>
      <c r="X224" s="117"/>
      <c r="Y224" s="117"/>
      <c r="Z224" s="117"/>
      <c r="AA224" s="189"/>
      <c r="AB224" s="145"/>
      <c r="AC224" s="158"/>
    </row>
    <row r="225" spans="1:29" outlineLevel="1" x14ac:dyDescent="0.15">
      <c r="B225" s="140"/>
      <c r="C225" s="140"/>
      <c r="D225" s="140"/>
      <c r="E225" s="140"/>
      <c r="F225" s="140"/>
      <c r="G225" s="140"/>
      <c r="H225" s="140"/>
      <c r="I225" s="140"/>
      <c r="J225" s="140"/>
      <c r="K225" s="140"/>
      <c r="L225" s="140"/>
      <c r="P225" s="117"/>
      <c r="Q225" s="117"/>
      <c r="R225" s="117"/>
      <c r="S225" s="117"/>
      <c r="T225" s="117"/>
      <c r="U225" s="191"/>
      <c r="V225" s="119"/>
      <c r="W225" s="119"/>
      <c r="X225" s="117"/>
      <c r="Y225" s="117"/>
      <c r="Z225" s="117"/>
      <c r="AA225" s="189"/>
      <c r="AB225" s="111"/>
      <c r="AC225" s="193"/>
    </row>
    <row r="226" spans="1:29" outlineLevel="1" x14ac:dyDescent="0.15">
      <c r="B226" s="140"/>
      <c r="C226" s="140"/>
      <c r="D226" s="140"/>
      <c r="E226" s="140"/>
      <c r="F226" s="140"/>
      <c r="G226" s="140"/>
      <c r="H226" s="140"/>
      <c r="I226" s="140"/>
      <c r="J226" s="140"/>
      <c r="K226" s="140"/>
      <c r="L226" s="140"/>
      <c r="P226" s="117"/>
      <c r="Q226" s="117"/>
      <c r="R226" s="117"/>
      <c r="S226" s="117"/>
      <c r="T226" s="117"/>
      <c r="U226" s="191"/>
      <c r="V226" s="119"/>
      <c r="W226" s="119"/>
      <c r="X226" s="117"/>
      <c r="Y226" s="117"/>
      <c r="Z226" s="117"/>
      <c r="AA226" s="117"/>
      <c r="AB226" s="111"/>
      <c r="AC226" s="193"/>
    </row>
    <row r="227" spans="1:29" outlineLevel="1" x14ac:dyDescent="0.15">
      <c r="A227" s="276"/>
      <c r="B227" s="140"/>
      <c r="C227" s="140"/>
      <c r="D227" s="140"/>
      <c r="E227" s="140"/>
      <c r="F227" s="140"/>
      <c r="G227" s="140"/>
      <c r="H227" s="140"/>
      <c r="I227" s="140"/>
      <c r="J227" s="140"/>
      <c r="K227" s="140"/>
      <c r="L227" s="140"/>
      <c r="P227" s="117"/>
      <c r="Q227" s="117"/>
      <c r="R227" s="117"/>
      <c r="S227" s="117"/>
      <c r="T227" s="117"/>
      <c r="U227" s="191"/>
      <c r="V227" s="119"/>
      <c r="W227" s="119"/>
      <c r="X227" s="117"/>
      <c r="Y227" s="117"/>
      <c r="Z227" s="117"/>
      <c r="AA227" s="117"/>
      <c r="AB227" s="111"/>
      <c r="AC227" s="193"/>
    </row>
    <row r="228" spans="1:29" outlineLevel="1" x14ac:dyDescent="0.15">
      <c r="A228" s="276"/>
      <c r="B228" s="140"/>
      <c r="C228" s="140"/>
      <c r="D228" s="140"/>
      <c r="E228" s="140"/>
      <c r="F228" s="140"/>
      <c r="G228" s="140"/>
      <c r="H228" s="140"/>
      <c r="I228" s="140"/>
      <c r="J228" s="140"/>
      <c r="K228" s="140"/>
      <c r="L228" s="140"/>
      <c r="P228" s="117"/>
      <c r="Q228" s="117"/>
      <c r="R228" s="117"/>
      <c r="S228" s="117"/>
      <c r="T228" s="117"/>
      <c r="U228" s="191"/>
      <c r="V228" s="119"/>
      <c r="W228" s="119"/>
      <c r="X228" s="117"/>
      <c r="Y228" s="117"/>
      <c r="Z228" s="117"/>
      <c r="AA228" s="117"/>
      <c r="AB228" s="111"/>
      <c r="AC228" s="193"/>
    </row>
    <row r="229" spans="1:29" outlineLevel="1" x14ac:dyDescent="0.15">
      <c r="A229" s="276"/>
      <c r="B229" s="140"/>
      <c r="C229" s="140"/>
      <c r="D229" s="140"/>
      <c r="E229" s="140"/>
      <c r="F229" s="140"/>
      <c r="G229" s="140"/>
      <c r="H229" s="140"/>
      <c r="I229" s="140"/>
      <c r="J229" s="140"/>
      <c r="K229" s="140"/>
      <c r="L229" s="140"/>
      <c r="P229" s="117"/>
      <c r="Q229" s="117"/>
      <c r="R229" s="117"/>
      <c r="S229" s="117"/>
      <c r="T229" s="117"/>
      <c r="U229" s="191"/>
      <c r="V229" s="119"/>
      <c r="W229" s="119"/>
      <c r="X229" s="117"/>
      <c r="Y229" s="117"/>
      <c r="Z229" s="117"/>
      <c r="AA229" s="117"/>
      <c r="AB229" s="111"/>
      <c r="AC229" s="193"/>
    </row>
    <row r="230" spans="1:29" outlineLevel="1" x14ac:dyDescent="0.15">
      <c r="A230" s="276"/>
      <c r="B230" s="140"/>
      <c r="C230" s="140"/>
      <c r="D230" s="140"/>
      <c r="E230" s="140"/>
      <c r="F230" s="140"/>
      <c r="G230" s="140"/>
      <c r="H230" s="140"/>
      <c r="I230" s="140"/>
      <c r="J230" s="140"/>
      <c r="K230" s="140"/>
      <c r="L230" s="140"/>
      <c r="P230" s="117"/>
      <c r="Q230" s="117"/>
      <c r="R230" s="117"/>
      <c r="S230" s="117"/>
      <c r="T230" s="117"/>
      <c r="U230" s="191"/>
      <c r="V230" s="119"/>
      <c r="W230" s="119"/>
      <c r="X230" s="117"/>
      <c r="Y230" s="117"/>
      <c r="Z230" s="117"/>
      <c r="AA230" s="117"/>
      <c r="AB230" s="111"/>
      <c r="AC230" s="193"/>
    </row>
    <row r="231" spans="1:29" outlineLevel="1" x14ac:dyDescent="0.15">
      <c r="A231" s="289"/>
      <c r="B231" s="140"/>
      <c r="C231" s="140"/>
      <c r="D231" s="140"/>
      <c r="E231" s="140"/>
      <c r="F231" s="140"/>
      <c r="G231" s="140"/>
      <c r="H231" s="140"/>
      <c r="I231" s="140"/>
      <c r="J231" s="140"/>
      <c r="K231" s="140"/>
      <c r="L231" s="140"/>
      <c r="P231" s="117"/>
      <c r="Q231" s="117"/>
      <c r="R231" s="117"/>
      <c r="S231" s="117"/>
      <c r="T231" s="117"/>
      <c r="U231" s="191"/>
      <c r="V231" s="119"/>
      <c r="W231" s="119"/>
      <c r="X231" s="117"/>
      <c r="Y231" s="117"/>
      <c r="Z231" s="117"/>
      <c r="AA231" s="117"/>
      <c r="AB231" s="111"/>
      <c r="AC231" s="193"/>
    </row>
    <row r="232" spans="1:29" outlineLevel="1" x14ac:dyDescent="0.15">
      <c r="A232" s="276"/>
      <c r="B232" s="140"/>
      <c r="C232" s="140"/>
      <c r="D232" s="140"/>
      <c r="E232" s="140"/>
      <c r="F232" s="140"/>
      <c r="G232" s="140"/>
      <c r="H232" s="140"/>
      <c r="I232" s="140"/>
      <c r="J232" s="140"/>
      <c r="K232" s="140"/>
      <c r="L232" s="140"/>
      <c r="P232" s="117"/>
      <c r="Q232" s="117"/>
      <c r="R232" s="117"/>
      <c r="S232" s="117"/>
      <c r="T232" s="117"/>
      <c r="U232" s="191"/>
      <c r="V232" s="147" t="s">
        <v>78</v>
      </c>
      <c r="W232" s="147" t="s">
        <v>137</v>
      </c>
      <c r="X232" s="145" t="str" cm="1">
        <f t="array" ref="X232">_xll.FDSC("--",$A$1,""&amp;$V232&amp;"("&amp;$W232&amp;","&amp;D$2&amp;",ANNUAL_ROLL,+1,0,,,'CURRENCY="&amp;$E$1&amp;"')")</f>
        <v>--</v>
      </c>
      <c r="Y232" s="145" t="str" cm="1">
        <f t="array" ref="Y232">_xll.FDSC("--",$A$1,""&amp;$V232&amp;"("&amp;$W232&amp;","&amp;D$2&amp;",ANNUAL_ROLL,+2,0,,,'CURRENCY="&amp;$E$1&amp;"')")</f>
        <v>--</v>
      </c>
      <c r="Z232" s="145" t="str" cm="1">
        <f t="array" ref="Z232">_xll.FDSC("--",$A$1,""&amp;$V232&amp;"("&amp;$W232&amp;","&amp;D$2&amp;",ANNUAL_ROLL,+3,0,,,'CURRENCY="&amp;$E$1&amp;"')")</f>
        <v>--</v>
      </c>
      <c r="AA232" s="117"/>
      <c r="AB232" s="111"/>
      <c r="AC232" s="193"/>
    </row>
    <row r="233" spans="1:29" outlineLevel="1" x14ac:dyDescent="0.15">
      <c r="A233" s="276"/>
      <c r="B233" s="140"/>
      <c r="C233" s="140"/>
      <c r="D233" s="140"/>
      <c r="E233" s="140"/>
      <c r="F233" s="140"/>
      <c r="G233" s="140"/>
      <c r="H233" s="140"/>
      <c r="I233" s="140"/>
      <c r="J233" s="140"/>
      <c r="K233" s="140"/>
      <c r="L233" s="140"/>
      <c r="P233" s="117"/>
      <c r="Q233" s="117"/>
      <c r="R233" s="117"/>
      <c r="S233" s="117"/>
      <c r="T233" s="117"/>
      <c r="U233" s="191"/>
      <c r="V233" s="147"/>
      <c r="W233" s="147"/>
      <c r="X233" s="145"/>
      <c r="Y233" s="145"/>
      <c r="Z233" s="145"/>
      <c r="AA233" s="117"/>
      <c r="AB233" s="111"/>
      <c r="AC233" s="193"/>
    </row>
    <row r="234" spans="1:29" outlineLevel="1" x14ac:dyDescent="0.15">
      <c r="A234" s="289"/>
      <c r="B234" s="140"/>
      <c r="C234" s="140"/>
      <c r="D234" s="140"/>
      <c r="E234" s="140"/>
      <c r="F234" s="140"/>
      <c r="G234" s="140"/>
      <c r="H234" s="140"/>
      <c r="I234" s="140"/>
      <c r="J234" s="140"/>
      <c r="K234" s="140"/>
      <c r="L234" s="140"/>
      <c r="P234" s="117"/>
      <c r="Q234" s="117"/>
      <c r="R234" s="117"/>
      <c r="S234" s="117"/>
      <c r="T234" s="117"/>
      <c r="U234" s="191"/>
      <c r="V234" s="119"/>
      <c r="W234" s="119"/>
      <c r="X234" s="117"/>
      <c r="Y234" s="117"/>
      <c r="Z234" s="117"/>
      <c r="AA234" s="117"/>
      <c r="AB234" s="111"/>
      <c r="AC234" s="193"/>
    </row>
    <row r="235" spans="1:29" outlineLevel="1" x14ac:dyDescent="0.15">
      <c r="A235" s="276"/>
      <c r="B235" s="140"/>
      <c r="C235" s="140"/>
      <c r="D235" s="140"/>
      <c r="E235" s="140"/>
      <c r="F235" s="140"/>
      <c r="G235" s="140"/>
      <c r="H235" s="140"/>
      <c r="I235" s="140"/>
      <c r="J235" s="140"/>
      <c r="K235" s="140"/>
      <c r="L235" s="140"/>
      <c r="P235" s="117"/>
      <c r="Q235" s="117"/>
      <c r="R235" s="117"/>
      <c r="S235" s="117"/>
      <c r="T235" s="117"/>
      <c r="U235" s="191"/>
      <c r="V235" s="119" t="s">
        <v>78</v>
      </c>
      <c r="W235" s="119" t="s">
        <v>140</v>
      </c>
      <c r="X235" s="117" t="str" cm="1">
        <f t="array" ref="X235">_xll.FDSC("--",$A$1,""&amp;$V235&amp;"("&amp;$W235&amp;","&amp;D$2&amp;",ANNUAL_ROLL,+1,0,,,'CURRENCY="&amp;$E$1&amp;"')")</f>
        <v>--</v>
      </c>
      <c r="Y235" s="117" t="str" cm="1">
        <f t="array" ref="Y235">_xll.FDSC("--",$A$1,""&amp;$V235&amp;"("&amp;$W235&amp;","&amp;D$2&amp;",ANNUAL_ROLL,+2,0,,,'CURRENCY="&amp;$E$1&amp;"')")</f>
        <v>--</v>
      </c>
      <c r="Z235" s="117" t="str" cm="1">
        <f t="array" ref="Z235">_xll.FDSC("--",$A$1,""&amp;$V235&amp;"("&amp;$W235&amp;","&amp;D$2&amp;",ANNUAL_ROLL,+3,0,,,'CURRENCY="&amp;$E$1&amp;"')")</f>
        <v>--</v>
      </c>
      <c r="AA235" s="117"/>
      <c r="AB235" s="111"/>
      <c r="AC235" s="193"/>
    </row>
    <row r="236" spans="1:29" outlineLevel="1" x14ac:dyDescent="0.15">
      <c r="A236" s="276"/>
      <c r="B236" s="140"/>
      <c r="C236" s="140"/>
      <c r="D236" s="140"/>
      <c r="E236" s="140"/>
      <c r="F236" s="140"/>
      <c r="G236" s="140"/>
      <c r="H236" s="140"/>
      <c r="I236" s="140"/>
      <c r="J236" s="140"/>
      <c r="K236" s="140"/>
      <c r="L236" s="140"/>
      <c r="P236" s="117"/>
      <c r="Q236" s="117"/>
      <c r="R236" s="117"/>
      <c r="S236" s="117"/>
      <c r="T236" s="117"/>
      <c r="U236" s="191"/>
      <c r="V236" s="119"/>
      <c r="W236" s="119"/>
      <c r="X236" s="117"/>
      <c r="Y236" s="117"/>
      <c r="Z236" s="117"/>
      <c r="AA236" s="117"/>
      <c r="AB236" s="111"/>
      <c r="AC236" s="193"/>
    </row>
    <row r="237" spans="1:29" outlineLevel="1" x14ac:dyDescent="0.15">
      <c r="B237" s="140"/>
      <c r="C237" s="140"/>
      <c r="D237" s="140"/>
      <c r="E237" s="140"/>
      <c r="F237" s="140"/>
      <c r="G237" s="140"/>
      <c r="H237" s="140"/>
      <c r="I237" s="140"/>
      <c r="J237" s="140"/>
      <c r="K237" s="140"/>
      <c r="L237" s="140"/>
      <c r="P237" s="117"/>
      <c r="Q237" s="117"/>
      <c r="R237" s="117"/>
      <c r="S237" s="117"/>
      <c r="T237" s="117"/>
      <c r="U237" s="191"/>
      <c r="V237" s="119"/>
      <c r="W237" s="119"/>
      <c r="X237" s="117"/>
      <c r="Y237" s="117"/>
      <c r="Z237" s="117"/>
      <c r="AA237" s="145"/>
      <c r="AB237" s="111"/>
      <c r="AC237" s="193"/>
    </row>
    <row r="238" spans="1:29" outlineLevel="1" x14ac:dyDescent="0.15">
      <c r="B238" s="140"/>
      <c r="C238" s="140"/>
      <c r="D238" s="140"/>
      <c r="E238" s="140"/>
      <c r="F238" s="140"/>
      <c r="G238" s="140"/>
      <c r="H238" s="140"/>
      <c r="I238" s="140"/>
      <c r="J238" s="140"/>
      <c r="K238" s="140"/>
      <c r="L238" s="140"/>
      <c r="P238" s="117"/>
      <c r="Q238" s="117"/>
      <c r="R238" s="117"/>
      <c r="S238" s="117"/>
      <c r="T238" s="117"/>
      <c r="U238" s="191"/>
      <c r="V238" s="119"/>
      <c r="W238" s="119"/>
      <c r="X238" s="117"/>
      <c r="Y238" s="117"/>
      <c r="Z238" s="117"/>
      <c r="AA238" s="145"/>
      <c r="AB238" s="111"/>
      <c r="AC238" s="193"/>
    </row>
    <row r="239" spans="1:29" outlineLevel="1" x14ac:dyDescent="0.15">
      <c r="B239" s="140"/>
      <c r="C239" s="140"/>
      <c r="D239" s="140"/>
      <c r="E239" s="140"/>
      <c r="F239" s="140"/>
      <c r="G239" s="140"/>
      <c r="H239" s="140"/>
      <c r="I239" s="140"/>
      <c r="J239" s="140"/>
      <c r="K239" s="140"/>
      <c r="L239" s="140"/>
      <c r="P239" s="117"/>
      <c r="Q239" s="117"/>
      <c r="R239" s="117"/>
      <c r="S239" s="117"/>
      <c r="T239" s="117"/>
      <c r="U239" s="191"/>
      <c r="V239" s="119"/>
      <c r="W239" s="119"/>
      <c r="X239" s="117"/>
      <c r="Y239" s="117"/>
      <c r="Z239" s="117"/>
      <c r="AA239" s="117"/>
      <c r="AB239" s="111"/>
      <c r="AC239" s="193"/>
    </row>
    <row r="240" spans="1:29" outlineLevel="1" x14ac:dyDescent="0.15">
      <c r="B240" s="140"/>
      <c r="C240" s="140"/>
      <c r="D240" s="140"/>
      <c r="E240" s="140"/>
      <c r="F240" s="140"/>
      <c r="G240" s="140"/>
      <c r="H240" s="140"/>
      <c r="I240" s="140"/>
      <c r="J240" s="140"/>
      <c r="K240" s="140"/>
      <c r="L240" s="140"/>
      <c r="P240" s="117"/>
      <c r="Q240" s="117"/>
      <c r="R240" s="117"/>
      <c r="S240" s="117"/>
      <c r="T240" s="117"/>
      <c r="U240" s="191"/>
      <c r="V240" s="119"/>
      <c r="W240" s="119"/>
      <c r="X240" s="117"/>
      <c r="Y240" s="117"/>
      <c r="Z240" s="117"/>
      <c r="AA240" s="117"/>
      <c r="AB240" s="111"/>
      <c r="AC240" s="193"/>
    </row>
    <row r="241" spans="1:46" outlineLevel="1" x14ac:dyDescent="0.15">
      <c r="B241" s="140"/>
      <c r="C241" s="140"/>
      <c r="D241" s="140"/>
      <c r="E241" s="140"/>
      <c r="F241" s="140"/>
      <c r="G241" s="140"/>
      <c r="H241" s="140"/>
      <c r="I241" s="140"/>
      <c r="J241" s="140"/>
      <c r="K241" s="140"/>
      <c r="L241" s="140"/>
      <c r="P241" s="117"/>
      <c r="Q241" s="117"/>
      <c r="R241" s="117"/>
      <c r="S241" s="117"/>
      <c r="T241" s="117"/>
      <c r="U241" s="191"/>
      <c r="V241" s="119"/>
      <c r="W241" s="119"/>
      <c r="X241" s="117"/>
      <c r="Y241" s="117"/>
      <c r="Z241" s="117"/>
      <c r="AA241" s="117"/>
      <c r="AB241" s="111"/>
      <c r="AC241" s="193"/>
    </row>
    <row r="242" spans="1:46" outlineLevel="1" x14ac:dyDescent="0.15">
      <c r="B242" s="140"/>
      <c r="C242" s="140"/>
      <c r="D242" s="140"/>
      <c r="E242" s="140"/>
      <c r="F242" s="140"/>
      <c r="G242" s="140"/>
      <c r="H242" s="140"/>
      <c r="I242" s="140"/>
      <c r="J242" s="140"/>
      <c r="K242" s="140"/>
      <c r="L242" s="140"/>
      <c r="P242" s="117"/>
      <c r="Q242" s="117"/>
      <c r="R242" s="117"/>
      <c r="S242" s="117"/>
      <c r="T242" s="117"/>
      <c r="U242" s="191"/>
      <c r="V242" s="119"/>
      <c r="W242" s="119"/>
      <c r="X242" s="117"/>
      <c r="Y242" s="117"/>
      <c r="Z242" s="117"/>
      <c r="AA242" s="117"/>
      <c r="AB242" s="111"/>
      <c r="AC242" s="193"/>
    </row>
    <row r="243" spans="1:46" outlineLevel="1" x14ac:dyDescent="0.15">
      <c r="B243" s="140"/>
      <c r="C243" s="140"/>
      <c r="D243" s="140"/>
      <c r="E243" s="140"/>
      <c r="F243" s="140"/>
      <c r="G243" s="140"/>
      <c r="H243" s="140"/>
      <c r="I243" s="140"/>
      <c r="J243" s="140"/>
      <c r="K243" s="140"/>
      <c r="L243" s="140"/>
      <c r="P243" s="117"/>
      <c r="Q243" s="117"/>
      <c r="R243" s="117"/>
      <c r="S243" s="117"/>
      <c r="T243" s="117"/>
      <c r="U243" s="191"/>
      <c r="V243" s="119"/>
      <c r="W243" s="119"/>
      <c r="X243" s="117"/>
      <c r="Y243" s="117"/>
      <c r="Z243" s="117"/>
      <c r="AA243" s="117"/>
      <c r="AB243" s="111"/>
      <c r="AC243" s="193"/>
    </row>
    <row r="244" spans="1:46" outlineLevel="1" x14ac:dyDescent="0.15">
      <c r="B244" s="140"/>
      <c r="C244" s="140"/>
      <c r="D244" s="140"/>
      <c r="E244" s="140"/>
      <c r="F244" s="140"/>
      <c r="G244" s="140"/>
      <c r="H244" s="140"/>
      <c r="I244" s="140"/>
      <c r="J244" s="140"/>
      <c r="K244" s="140"/>
      <c r="L244" s="140"/>
      <c r="P244" s="117"/>
      <c r="Q244" s="117"/>
      <c r="R244" s="117"/>
      <c r="S244" s="117"/>
      <c r="T244" s="117"/>
      <c r="U244" s="191"/>
      <c r="V244" s="119"/>
      <c r="W244" s="119"/>
      <c r="X244" s="117"/>
      <c r="Y244" s="117"/>
      <c r="Z244" s="117"/>
      <c r="AA244" s="117"/>
      <c r="AB244" s="111"/>
      <c r="AC244" s="193"/>
    </row>
    <row r="245" spans="1:46" outlineLevel="1" x14ac:dyDescent="0.15">
      <c r="B245" s="140"/>
      <c r="C245" s="140"/>
      <c r="D245" s="140"/>
      <c r="E245" s="140"/>
      <c r="F245" s="140"/>
      <c r="G245" s="140"/>
      <c r="H245" s="140"/>
      <c r="I245" s="140"/>
      <c r="J245" s="140"/>
      <c r="K245" s="140"/>
      <c r="L245" s="140"/>
      <c r="P245" s="117"/>
      <c r="Q245" s="117"/>
      <c r="R245" s="117"/>
      <c r="S245" s="117"/>
      <c r="T245" s="117"/>
      <c r="U245" s="191"/>
      <c r="V245" s="147" t="s">
        <v>78</v>
      </c>
      <c r="W245" s="147" t="s">
        <v>149</v>
      </c>
      <c r="X245" s="145" t="str" cm="1">
        <f t="array" ref="X245">_xll.FDSC("--",$A$1,""&amp;$V245&amp;"("&amp;$W245&amp;","&amp;D$2&amp;",ANNUAL_ROLL,+1,0,,,'CURRENCY="&amp;$E$1&amp;"')")</f>
        <v>--</v>
      </c>
      <c r="Y245" s="145" t="str" cm="1">
        <f t="array" ref="Y245">_xll.FDSC("--",$A$1,""&amp;$V245&amp;"("&amp;$W245&amp;","&amp;D$2&amp;",ANNUAL_ROLL,+2,0,,,'CURRENCY="&amp;$E$1&amp;"')")</f>
        <v>--</v>
      </c>
      <c r="Z245" s="145" t="str" cm="1">
        <f t="array" ref="Z245">_xll.FDSC("--",$A$1,""&amp;$V245&amp;"("&amp;$W245&amp;","&amp;D$2&amp;",ANNUAL_ROLL,+3,0,,,'CURRENCY="&amp;$E$1&amp;"')")</f>
        <v>--</v>
      </c>
      <c r="AA245" s="117"/>
      <c r="AB245" s="111"/>
      <c r="AC245" s="193"/>
    </row>
    <row r="246" spans="1:46" outlineLevel="1" x14ac:dyDescent="0.15">
      <c r="B246" s="140"/>
      <c r="C246" s="140"/>
      <c r="D246" s="140"/>
      <c r="E246" s="140"/>
      <c r="F246" s="140"/>
      <c r="G246" s="140"/>
      <c r="H246" s="140"/>
      <c r="I246" s="140"/>
      <c r="J246" s="140"/>
      <c r="K246" s="140"/>
      <c r="L246" s="140"/>
      <c r="P246" s="117"/>
      <c r="Q246" s="117"/>
      <c r="R246" s="117"/>
      <c r="S246" s="117"/>
      <c r="T246" s="117"/>
      <c r="U246" s="191"/>
      <c r="V246" s="119"/>
      <c r="W246" s="119"/>
      <c r="X246" s="117"/>
      <c r="Y246" s="117"/>
      <c r="Z246" s="117"/>
      <c r="AA246" s="117"/>
      <c r="AB246" s="111"/>
      <c r="AC246" s="193"/>
    </row>
    <row r="247" spans="1:46" outlineLevel="1" x14ac:dyDescent="0.15">
      <c r="B247" s="140"/>
      <c r="C247" s="140"/>
      <c r="D247" s="140"/>
      <c r="E247" s="140"/>
      <c r="F247" s="140"/>
      <c r="G247" s="140"/>
      <c r="H247" s="140"/>
      <c r="I247" s="140"/>
      <c r="J247" s="140"/>
      <c r="K247" s="140"/>
      <c r="L247" s="140"/>
      <c r="P247" s="117"/>
      <c r="Q247" s="117"/>
      <c r="R247" s="117"/>
      <c r="S247" s="117"/>
      <c r="T247" s="117"/>
      <c r="U247" s="191"/>
      <c r="V247" s="119"/>
      <c r="W247" s="119"/>
      <c r="X247" s="117"/>
      <c r="Y247" s="117"/>
      <c r="Z247" s="117"/>
      <c r="AA247" s="117"/>
      <c r="AB247" s="111"/>
      <c r="AC247" s="193"/>
    </row>
    <row r="248" spans="1:46" outlineLevel="1" x14ac:dyDescent="0.15">
      <c r="B248" s="140"/>
      <c r="C248" s="140"/>
      <c r="D248" s="140"/>
      <c r="E248" s="140"/>
      <c r="F248" s="140"/>
      <c r="G248" s="140"/>
      <c r="H248" s="140"/>
      <c r="I248" s="140"/>
      <c r="J248" s="140"/>
      <c r="K248" s="140"/>
      <c r="L248" s="140"/>
      <c r="P248" s="117"/>
      <c r="Q248" s="117"/>
      <c r="R248" s="117"/>
      <c r="S248" s="117"/>
      <c r="T248" s="117"/>
      <c r="U248" s="191"/>
      <c r="V248" s="119"/>
      <c r="W248" s="119"/>
      <c r="X248" s="117"/>
      <c r="Y248" s="117"/>
      <c r="Z248" s="117"/>
      <c r="AA248" s="117"/>
      <c r="AB248" s="111"/>
      <c r="AC248" s="193"/>
    </row>
    <row r="249" spans="1:46" outlineLevel="1" x14ac:dyDescent="0.15">
      <c r="B249" s="140"/>
      <c r="C249" s="140"/>
      <c r="D249" s="140"/>
      <c r="E249" s="140"/>
      <c r="F249" s="140"/>
      <c r="G249" s="140"/>
      <c r="H249" s="140"/>
      <c r="I249" s="140"/>
      <c r="J249" s="140"/>
      <c r="K249" s="140"/>
      <c r="L249" s="140"/>
      <c r="P249" s="117"/>
      <c r="Q249" s="117"/>
      <c r="R249" s="117"/>
      <c r="S249" s="117"/>
      <c r="T249" s="117"/>
      <c r="U249" s="191"/>
      <c r="V249" s="119"/>
      <c r="W249" s="119"/>
      <c r="X249" s="117"/>
      <c r="Y249" s="117"/>
      <c r="Z249" s="117"/>
      <c r="AA249" s="117"/>
      <c r="AB249" s="111"/>
      <c r="AC249" s="193"/>
    </row>
    <row r="250" spans="1:46" outlineLevel="1" x14ac:dyDescent="0.15">
      <c r="B250" s="140"/>
      <c r="C250" s="140"/>
      <c r="D250" s="140"/>
      <c r="E250" s="140"/>
      <c r="F250" s="140"/>
      <c r="G250" s="140"/>
      <c r="H250" s="140"/>
      <c r="I250" s="140"/>
      <c r="J250" s="140"/>
      <c r="K250" s="140"/>
      <c r="L250" s="140"/>
      <c r="P250" s="117"/>
      <c r="Q250" s="117"/>
      <c r="R250" s="117"/>
      <c r="S250" s="117"/>
      <c r="T250" s="117"/>
      <c r="U250" s="191"/>
      <c r="V250" s="119"/>
      <c r="W250" s="119"/>
      <c r="X250" s="117"/>
      <c r="Y250" s="117"/>
      <c r="Z250" s="117"/>
      <c r="AA250" s="145"/>
      <c r="AB250" s="111"/>
      <c r="AC250" s="193"/>
    </row>
    <row r="251" spans="1:46" outlineLevel="1" x14ac:dyDescent="0.15">
      <c r="B251" s="140"/>
      <c r="C251" s="140"/>
      <c r="D251" s="140"/>
      <c r="E251" s="140"/>
      <c r="F251" s="140"/>
      <c r="G251" s="140"/>
      <c r="H251" s="140"/>
      <c r="I251" s="140"/>
      <c r="J251" s="140"/>
      <c r="K251" s="140"/>
      <c r="L251" s="140"/>
      <c r="P251" s="117"/>
      <c r="Q251" s="117"/>
      <c r="R251" s="117"/>
      <c r="S251" s="117"/>
      <c r="T251" s="117"/>
      <c r="U251" s="191"/>
      <c r="V251" s="119"/>
      <c r="W251" s="119"/>
      <c r="X251" s="117"/>
      <c r="Y251" s="117"/>
      <c r="Z251" s="117"/>
      <c r="AA251" s="117"/>
      <c r="AB251" s="111"/>
      <c r="AC251" s="193"/>
    </row>
    <row r="252" spans="1:46" x14ac:dyDescent="0.15">
      <c r="A252" s="181" t="s">
        <v>128</v>
      </c>
      <c r="B252" s="140" t="str" cm="1">
        <f t="array" ref="B252">IFERROR(_xll.FDS($A$1,""&amp;#REF!&amp;"("&amp;(CHOOSE($C$1,$AE$4,#REF!))&amp;","&amp;B$7&amp;",,,,"&amp;$E$1&amp;")"),"")</f>
        <v/>
      </c>
      <c r="C252" s="140" t="str" cm="1">
        <f t="array" ref="C252">IFERROR(_xll.FDS($A$1,""&amp;#REF!&amp;"("&amp;(CHOOSE($C$1,$AE$4,#REF!))&amp;","&amp;C$7&amp;",,,,"&amp;$E$1&amp;")"),"")</f>
        <v/>
      </c>
      <c r="D252" s="140" t="str" cm="1">
        <f t="array" ref="D252">IFERROR(_xll.FDS($A$1,""&amp;#REF!&amp;"("&amp;(CHOOSE($C$1,$AE$4,#REF!))&amp;","&amp;D$7&amp;",,,,"&amp;$E$1&amp;")"),"")</f>
        <v/>
      </c>
      <c r="E252" s="140" t="str" cm="1">
        <f t="array" ref="E252">IFERROR(_xll.FDS($A$1,""&amp;#REF!&amp;"("&amp;(CHOOSE($C$1,$AE$4,#REF!))&amp;","&amp;E$7&amp;",,,,"&amp;$E$1&amp;")"),"")</f>
        <v/>
      </c>
      <c r="F252" s="140" t="str" cm="1">
        <f t="array" ref="F252">IFERROR(_xll.FDS($A$1,""&amp;#REF!&amp;"("&amp;(CHOOSE($C$1,$AE$4,#REF!))&amp;","&amp;F$7&amp;",,,,"&amp;$E$1&amp;")"),"")</f>
        <v/>
      </c>
      <c r="G252" s="140" t="str" cm="1">
        <f t="array" ref="G252">IFERROR(_xll.FDS($A$1,""&amp;#REF!&amp;"("&amp;(CHOOSE($C$1,$AE$4,#REF!))&amp;","&amp;G$7&amp;",,,,"&amp;$E$1&amp;")"),"")</f>
        <v/>
      </c>
      <c r="H252" s="140" t="str" cm="1">
        <f t="array" ref="H252">IFERROR(_xll.FDS($A$1,""&amp;#REF!&amp;"("&amp;(CHOOSE($C$1,$AE$4,#REF!))&amp;","&amp;H$7&amp;",,,,"&amp;$E$1&amp;")"),"")</f>
        <v/>
      </c>
      <c r="I252" s="140" t="str" cm="1">
        <f t="array" ref="I252">IFERROR(_xll.FDS($A$1,""&amp;#REF!&amp;"("&amp;(CHOOSE($C$1,$AE$4,#REF!))&amp;","&amp;I$7&amp;",,,,"&amp;$E$1&amp;")"),"")</f>
        <v/>
      </c>
      <c r="J252" s="140" t="str" cm="1">
        <f t="array" ref="J252">IFERROR(_xll.FDS($A$1,""&amp;#REF!&amp;"("&amp;(CHOOSE($C$1,$AE$4,#REF!))&amp;","&amp;J$7&amp;",,,,"&amp;$E$1&amp;")"),"")</f>
        <v/>
      </c>
      <c r="K252" s="140" t="str" cm="1">
        <f t="array" ref="K252">IFERROR(_xll.FDS($A$1,""&amp;#REF!&amp;"("&amp;(CHOOSE($C$1,$AE$4,#REF!))&amp;","&amp;K$7&amp;",,,,"&amp;$E$1&amp;")"),"")</f>
        <v/>
      </c>
      <c r="L252" s="140" t="str" cm="1">
        <f t="array" ref="L252">IFERROR(_xll.FDS($A$1,""&amp;#REF!&amp;"("&amp;(CHOOSE($C$1,$AE$4,#REF!))&amp;","&amp;L$7&amp;",,,,"&amp;$E$1&amp;")"),"")</f>
        <v/>
      </c>
      <c r="P252" s="117"/>
      <c r="Q252" s="117"/>
      <c r="R252" s="117"/>
      <c r="S252" s="117"/>
      <c r="T252" s="117"/>
      <c r="U252" s="191"/>
      <c r="V252" s="119"/>
      <c r="W252" s="119"/>
      <c r="X252" s="117"/>
      <c r="Y252" s="117"/>
      <c r="Z252" s="117"/>
      <c r="AA252" s="117"/>
      <c r="AB252" s="111"/>
      <c r="AC252" s="193"/>
    </row>
    <row r="253" spans="1:46" s="92" customFormat="1" x14ac:dyDescent="0.15">
      <c r="A253" s="181" t="s">
        <v>129</v>
      </c>
      <c r="B253" s="140"/>
      <c r="C253" s="140"/>
      <c r="D253" s="140"/>
      <c r="E253" s="140"/>
      <c r="F253" s="140"/>
      <c r="G253" s="140"/>
      <c r="H253" s="140"/>
      <c r="I253" s="140"/>
      <c r="J253" s="140"/>
      <c r="K253" s="140"/>
      <c r="L253" s="140"/>
      <c r="M253" s="75"/>
      <c r="N253" s="75"/>
      <c r="O253" s="75"/>
      <c r="P253" s="117"/>
      <c r="Q253" s="117"/>
      <c r="R253" s="117"/>
      <c r="S253" s="117"/>
      <c r="T253" s="117"/>
      <c r="U253" s="187"/>
      <c r="V253" s="119"/>
      <c r="W253" s="119"/>
      <c r="X253" s="117"/>
      <c r="Y253" s="117"/>
      <c r="Z253" s="117"/>
      <c r="AA253" s="117"/>
      <c r="AB253" s="189"/>
      <c r="AC253" s="190"/>
      <c r="AJ253" s="78"/>
      <c r="AK253" s="78"/>
      <c r="AL253" s="78"/>
      <c r="AM253" s="78"/>
      <c r="AN253" s="78"/>
      <c r="AO253" s="78"/>
      <c r="AP253" s="78"/>
      <c r="AQ253" s="78"/>
      <c r="AR253" s="78"/>
      <c r="AS253" s="78"/>
      <c r="AT253" s="78"/>
    </row>
    <row r="254" spans="1:46" s="92" customFormat="1" outlineLevel="1" x14ac:dyDescent="0.15">
      <c r="A254" s="78" t="s">
        <v>99</v>
      </c>
      <c r="B254" s="140">
        <f>CHOOSE(IF($B$1=2,2,1),'GAAP-IFRS'!E50,IF('Broker Actual'!E50="-",'GAAP-IFRS'!E50,'Broker Actual'!E50))</f>
        <v>894.4</v>
      </c>
      <c r="C254" s="140">
        <f>CHOOSE(IF($B$1=2,2,1),'GAAP-IFRS'!F50,IF('Broker Actual'!F50="-",'GAAP-IFRS'!F50,'Broker Actual'!F50))</f>
        <v>858.1</v>
      </c>
      <c r="D254" s="140">
        <f>CHOOSE(IF($B$1=2,2,1),'GAAP-IFRS'!G50,IF('Broker Actual'!G50="-",'GAAP-IFRS'!G50,'Broker Actual'!G50))</f>
        <v>413.4</v>
      </c>
      <c r="E254" s="140">
        <f>CHOOSE(IF($B$1=2,2,1),'GAAP-IFRS'!H50,IF('Broker Actual'!H50="-",'GAAP-IFRS'!H50,'Broker Actual'!H50))</f>
        <v>867.1</v>
      </c>
      <c r="F254" s="140">
        <f>CHOOSE(IF($B$1=2,2,1),'GAAP-IFRS'!I50,IF('Broker Actual'!I50="-",'GAAP-IFRS'!I50,'Broker Actual'!I50))</f>
        <v>931.4</v>
      </c>
      <c r="G254" s="140">
        <f>CHOOSE(IF($B$1=2,2,1),'GAAP-IFRS'!J50,IF('Broker Actual'!J50="-",'GAAP-IFRS'!J50,'Broker Actual'!J50))</f>
        <v>994.2</v>
      </c>
      <c r="H254" s="140">
        <f>CHOOSE(IF($B$1=2,2,1),'GAAP-IFRS'!K50,IF('Broker Actual'!K50="-",'GAAP-IFRS'!K50,'Broker Actual'!K50))</f>
        <v>523.4</v>
      </c>
      <c r="I254" s="140">
        <f>CHOOSE(IF($B$1=2,2,1),'GAAP-IFRS'!L50,IF('Broker Actual'!L50="-",'GAAP-IFRS'!L50,'Broker Actual'!L50))</f>
        <v>1100.3</v>
      </c>
      <c r="J254" s="140">
        <f>CHOOSE(IF($B$1=2,2,1),'GAAP-IFRS'!M50,IF('Broker Actual'!M50="-",'GAAP-IFRS'!M50,'Broker Actual'!M50))</f>
        <v>1005.4</v>
      </c>
      <c r="K254" s="140">
        <f>CHOOSE(IF($B$1=2,2,1),'GAAP-IFRS'!N50,IF('Broker Actual'!N50="-",'GAAP-IFRS'!N50,'Broker Actual'!N50))</f>
        <v>890.7</v>
      </c>
      <c r="L254" s="140">
        <f>CHOOSE(IF($B$1=2,2,1),'GAAP-IFRS'!O50,IF('Broker Actual'!O50="-",'GAAP-IFRS'!O50,'Broker Actual'!O50))</f>
        <v>1254.3</v>
      </c>
      <c r="M254" s="139">
        <f>M115</f>
        <v>1526.0611291652717</v>
      </c>
      <c r="N254" s="139">
        <f>N115</f>
        <v>1249.1330029586225</v>
      </c>
      <c r="O254" s="139">
        <f>O115</f>
        <v>1145.2887825081036</v>
      </c>
      <c r="P254" s="139">
        <f>P115</f>
        <v>995.14876062955943</v>
      </c>
      <c r="Q254" s="139">
        <f>Q115</f>
        <v>907.17856643416189</v>
      </c>
      <c r="R254" s="117"/>
      <c r="S254" s="117"/>
      <c r="T254" s="117"/>
      <c r="U254" s="187"/>
      <c r="V254" s="119"/>
      <c r="W254" s="119"/>
      <c r="X254" s="117"/>
      <c r="Y254" s="117"/>
      <c r="Z254" s="117"/>
      <c r="AA254" s="117"/>
      <c r="AB254" s="189"/>
      <c r="AC254" s="190"/>
      <c r="AJ254" s="78"/>
      <c r="AK254" s="78"/>
      <c r="AL254" s="78"/>
      <c r="AM254" s="78"/>
      <c r="AN254" s="78"/>
      <c r="AO254" s="78"/>
      <c r="AP254" s="78"/>
      <c r="AQ254" s="78"/>
      <c r="AR254" s="78"/>
      <c r="AS254" s="78"/>
      <c r="AT254" s="78"/>
    </row>
    <row r="255" spans="1:46" outlineLevel="1" x14ac:dyDescent="0.15">
      <c r="A255" s="77" t="s">
        <v>131</v>
      </c>
      <c r="B255" s="140">
        <f>CHOOSE(IF($B$1=2,2,1),'GAAP-IFRS'!E51,IF('Broker Actual'!E51="-",'GAAP-IFRS'!E51,'Broker Actual'!E51))</f>
        <v>84.3</v>
      </c>
      <c r="C255" s="140">
        <f>CHOOSE(IF($B$1=2,2,1),'GAAP-IFRS'!F51,IF('Broker Actual'!F51="-",'GAAP-IFRS'!F51,'Broker Actual'!F51))</f>
        <v>84.8</v>
      </c>
      <c r="D255" s="140">
        <f>CHOOSE(IF($B$1=2,2,1),'GAAP-IFRS'!G51,IF('Broker Actual'!G51="-",'GAAP-IFRS'!G51,'Broker Actual'!G51))</f>
        <v>87.9</v>
      </c>
      <c r="E255" s="140">
        <f>CHOOSE(IF($B$1=2,2,1),'GAAP-IFRS'!H51,IF('Broker Actual'!H51="-",'GAAP-IFRS'!H51,'Broker Actual'!H51))</f>
        <v>99.5</v>
      </c>
      <c r="F255" s="140">
        <f>CHOOSE(IF($B$1=2,2,1),'GAAP-IFRS'!I51,IF('Broker Actual'!I51="-",'GAAP-IFRS'!I51,'Broker Actual'!I51))</f>
        <v>101.7</v>
      </c>
      <c r="G255" s="140">
        <f>CHOOSE(IF($B$1=2,2,1),'GAAP-IFRS'!J51,IF('Broker Actual'!J51="-",'GAAP-IFRS'!J51,'Broker Actual'!J51))</f>
        <v>103.4</v>
      </c>
      <c r="H255" s="140">
        <f>CHOOSE(IF($B$1=2,2,1),'GAAP-IFRS'!K51,IF('Broker Actual'!K51="-",'GAAP-IFRS'!K51,'Broker Actual'!K51))</f>
        <v>101.4</v>
      </c>
      <c r="I255" s="140">
        <f>CHOOSE(IF($B$1=2,2,1),'GAAP-IFRS'!L51,IF('Broker Actual'!L51="-",'GAAP-IFRS'!L51,'Broker Actual'!L51))</f>
        <v>110.1</v>
      </c>
      <c r="J255" s="140">
        <f>CHOOSE(IF($B$1=2,2,1),'GAAP-IFRS'!M51,IF('Broker Actual'!M51="-",'GAAP-IFRS'!M51,'Broker Actual'!M51))</f>
        <v>113.6</v>
      </c>
      <c r="K255" s="140">
        <f>CHOOSE(IF($B$1=2,2,1),'GAAP-IFRS'!N51,IF('Broker Actual'!N51="-",'GAAP-IFRS'!N51,'Broker Actual'!N51))</f>
        <v>119.8</v>
      </c>
      <c r="L255" s="140">
        <f>CHOOSE(IF($B$1=2,2,1),'GAAP-IFRS'!O51,IF('Broker Actual'!O51="-",'GAAP-IFRS'!O51,'Broker Actual'!O51))</f>
        <v>110.5</v>
      </c>
      <c r="M255" s="139">
        <f>M256*M37</f>
        <v>99.254511128744426</v>
      </c>
      <c r="N255" s="139">
        <f>N256*N37</f>
        <v>101.28751557096237</v>
      </c>
      <c r="O255" s="139">
        <f>O256*O37</f>
        <v>102.07286794709373</v>
      </c>
      <c r="P255" s="139">
        <f>P256*P37</f>
        <v>103.27221840859066</v>
      </c>
      <c r="Q255" s="139">
        <f>Q256*Q37</f>
        <v>103.83298919827133</v>
      </c>
      <c r="R255" s="117"/>
      <c r="S255" s="117"/>
      <c r="T255" s="117"/>
      <c r="U255" s="118"/>
      <c r="V255" s="119"/>
      <c r="W255" s="119"/>
      <c r="X255" s="117"/>
      <c r="Y255" s="117"/>
      <c r="Z255" s="117"/>
      <c r="AA255" s="117"/>
      <c r="AB255" s="117" cm="1">
        <f t="array" ref="AB255">_xll.FDSC("--",$A$1,"FF_FUNDS_OPER_GROSS(LTM_R,0,,,,"&amp;$E$1&amp;")@FF_FUNDS_OPER_GROSS(LTM_SEMI_R,0,,,,"&amp;$E$1&amp;")")</f>
        <v>1122.2</v>
      </c>
      <c r="AC255" s="120"/>
    </row>
    <row r="256" spans="1:46" outlineLevel="1" x14ac:dyDescent="0.15">
      <c r="A256" s="128" t="s">
        <v>110</v>
      </c>
      <c r="B256" s="138">
        <f t="shared" ref="B256:L256" si="127">IFERROR(B255/B$49,"")</f>
        <v>8.0168134355326475E-3</v>
      </c>
      <c r="C256" s="138">
        <f t="shared" si="127"/>
        <v>8.1902296741293047E-3</v>
      </c>
      <c r="D256" s="138">
        <f t="shared" si="127"/>
        <v>8.3637021037708016E-3</v>
      </c>
      <c r="E256" s="138">
        <f t="shared" si="127"/>
        <v>9.2719428214661798E-3</v>
      </c>
      <c r="F256" s="138">
        <f t="shared" si="127"/>
        <v>9.2065360068800083E-3</v>
      </c>
      <c r="G256" s="138">
        <f t="shared" si="127"/>
        <v>9.1611439912109727E-3</v>
      </c>
      <c r="H256" s="138">
        <f t="shared" si="127"/>
        <v>8.7425098073026682E-3</v>
      </c>
      <c r="I256" s="138">
        <f t="shared" si="127"/>
        <v>9.1758411187692207E-3</v>
      </c>
      <c r="J256" s="138">
        <f>IFERROR(J255/J$49,"")</f>
        <v>8.6308415830300637E-3</v>
      </c>
      <c r="K256" s="138">
        <f t="shared" si="127"/>
        <v>9.9718656877923733E-3</v>
      </c>
      <c r="L256" s="138">
        <f t="shared" si="127"/>
        <v>9.215244766908515E-3</v>
      </c>
      <c r="M256" s="486">
        <v>8.0000000000000002E-3</v>
      </c>
      <c r="N256" s="486">
        <v>8.0000000000000002E-3</v>
      </c>
      <c r="O256" s="486">
        <v>8.0000000000000002E-3</v>
      </c>
      <c r="P256" s="486">
        <v>8.0000000000000002E-3</v>
      </c>
      <c r="Q256" s="486">
        <v>8.0000000000000002E-3</v>
      </c>
      <c r="R256" s="117"/>
      <c r="S256" s="117"/>
      <c r="T256" s="117"/>
      <c r="U256" s="118"/>
      <c r="V256" s="119"/>
      <c r="W256" s="119"/>
      <c r="X256" s="117"/>
      <c r="Y256" s="117"/>
      <c r="Z256" s="117"/>
      <c r="AA256" s="117"/>
      <c r="AB256" s="117"/>
      <c r="AC256" s="120"/>
    </row>
    <row r="257" spans="1:29" outlineLevel="1" x14ac:dyDescent="0.15">
      <c r="A257" s="77" t="s">
        <v>132</v>
      </c>
      <c r="B257" s="140">
        <f>CHOOSE(IF($B$1=2,2,1),'GAAP-IFRS'!E47,IF('Broker Actual'!E47="-",'GAAP-IFRS'!E47,'Broker Actual'!E47))</f>
        <v>0</v>
      </c>
      <c r="C257" s="139" t="str">
        <f>CHOOSE(IF($B$1=2,2,1),'GAAP-IFRS'!F52,IF('Broker Actual'!F52="-",'GAAP-IFRS'!F52,'Broker Actual'!F52))</f>
        <v/>
      </c>
      <c r="D257" s="139" t="str">
        <f>CHOOSE(IF($B$1=2,2,1),'GAAP-IFRS'!G52,IF('Broker Actual'!G52="-",'GAAP-IFRS'!G52,'Broker Actual'!G52))</f>
        <v/>
      </c>
      <c r="E257" s="139" t="str">
        <f>CHOOSE(IF($B$1=2,2,1),'GAAP-IFRS'!H52,IF('Broker Actual'!H52="-",'GAAP-IFRS'!H52,'Broker Actual'!H52))</f>
        <v/>
      </c>
      <c r="F257" s="139" t="str">
        <f>CHOOSE(IF($B$1=2,2,1),'GAAP-IFRS'!I52,IF('Broker Actual'!I52="-",'GAAP-IFRS'!I52,'Broker Actual'!I52))</f>
        <v/>
      </c>
      <c r="G257" s="139" t="str">
        <f>CHOOSE(IF($B$1=2,2,1),'GAAP-IFRS'!J52,IF('Broker Actual'!J52="-",'GAAP-IFRS'!J52,'Broker Actual'!J52))</f>
        <v/>
      </c>
      <c r="H257" s="139" t="str">
        <f>CHOOSE(IF($B$1=2,2,1),'GAAP-IFRS'!K52,IF('Broker Actual'!K52="-",'GAAP-IFRS'!K52,'Broker Actual'!K52))</f>
        <v/>
      </c>
      <c r="I257" s="139" t="str">
        <f>CHOOSE(IF($B$1=2,2,1),'GAAP-IFRS'!L52,IF('Broker Actual'!L52="-",'GAAP-IFRS'!L52,'Broker Actual'!L52))</f>
        <v/>
      </c>
      <c r="J257" s="139" t="str">
        <f>CHOOSE(IF($B$1=2,2,1),'GAAP-IFRS'!M52,IF('Broker Actual'!M52="-",'GAAP-IFRS'!M52,'Broker Actual'!M52))</f>
        <v/>
      </c>
      <c r="K257" s="139" t="str">
        <f>CHOOSE(IF($B$1=2,2,1),'GAAP-IFRS'!N52,IF('Broker Actual'!N52="-",'GAAP-IFRS'!N52,'Broker Actual'!N52))</f>
        <v/>
      </c>
      <c r="L257" s="139" t="str">
        <f>CHOOSE(IF($B$1=2,2,1),'GAAP-IFRS'!O52,IF('Broker Actual'!O52="-",'GAAP-IFRS'!O52,'Broker Actual'!O52))</f>
        <v/>
      </c>
      <c r="M257" s="139"/>
      <c r="N257" s="139"/>
      <c r="O257" s="139"/>
      <c r="P257" s="117"/>
      <c r="Q257" s="117"/>
      <c r="R257" s="117"/>
      <c r="S257" s="117"/>
      <c r="T257" s="117"/>
      <c r="U257" s="118"/>
      <c r="V257" s="119"/>
      <c r="W257" s="119"/>
      <c r="X257" s="117"/>
      <c r="Y257" s="117"/>
      <c r="Z257" s="117"/>
      <c r="AA257" s="117"/>
      <c r="AB257" s="117"/>
      <c r="AC257" s="120"/>
    </row>
    <row r="258" spans="1:29" outlineLevel="1" x14ac:dyDescent="0.15">
      <c r="A258" s="128" t="s">
        <v>110</v>
      </c>
      <c r="B258" s="140" t="str">
        <f>CHOOSE(IF($B$1=2,2,1),'GAAP-IFRS'!E53,IF('Broker Actual'!E53="-",'GAAP-IFRS'!E53,'Broker Actual'!E53))</f>
        <v/>
      </c>
      <c r="C258" s="253" t="str">
        <f>IFERROR(#REF!/C$61,"")</f>
        <v/>
      </c>
      <c r="D258" s="253" t="str">
        <f>IFERROR(C257/D$61,"")</f>
        <v/>
      </c>
      <c r="E258" s="253" t="str">
        <f t="shared" ref="E258:L258" si="128">IFERROR(E257/E$61,"")</f>
        <v/>
      </c>
      <c r="F258" s="253" t="str">
        <f t="shared" si="128"/>
        <v/>
      </c>
      <c r="G258" s="253" t="str">
        <f t="shared" si="128"/>
        <v/>
      </c>
      <c r="H258" s="253" t="str">
        <f t="shared" si="128"/>
        <v/>
      </c>
      <c r="I258" s="253" t="str">
        <f t="shared" si="128"/>
        <v/>
      </c>
      <c r="J258" s="253" t="str">
        <f t="shared" si="128"/>
        <v/>
      </c>
      <c r="K258" s="253" t="str">
        <f t="shared" si="128"/>
        <v/>
      </c>
      <c r="L258" s="253" t="str">
        <f t="shared" si="128"/>
        <v/>
      </c>
      <c r="M258" s="254"/>
      <c r="N258" s="254"/>
      <c r="O258" s="254"/>
      <c r="P258" s="117"/>
      <c r="Q258" s="117"/>
      <c r="R258" s="117"/>
      <c r="S258" s="117"/>
      <c r="T258" s="117"/>
      <c r="U258" s="118"/>
      <c r="V258" s="119"/>
      <c r="W258" s="119"/>
      <c r="X258" s="117"/>
      <c r="Y258" s="117"/>
      <c r="Z258" s="117"/>
      <c r="AA258" s="117"/>
      <c r="AB258" s="117"/>
      <c r="AC258" s="120"/>
    </row>
    <row r="259" spans="1:29" ht="15" outlineLevel="1" x14ac:dyDescent="0.15">
      <c r="A259" s="218" t="s">
        <v>390</v>
      </c>
      <c r="B259" s="140"/>
      <c r="C259" s="255">
        <v>572.5</v>
      </c>
      <c r="D259" s="255">
        <v>972.2</v>
      </c>
      <c r="E259" s="255">
        <v>293.89999999999998</v>
      </c>
      <c r="F259" s="255">
        <v>368.2</v>
      </c>
      <c r="G259" s="255">
        <v>441.9</v>
      </c>
      <c r="H259" s="255">
        <v>1193.0999999999999</v>
      </c>
      <c r="I259" s="255">
        <v>376.1</v>
      </c>
      <c r="J259" s="255">
        <v>1610</v>
      </c>
      <c r="K259" s="255">
        <v>153.30000000000001</v>
      </c>
      <c r="L259" s="255">
        <v>-218.2</v>
      </c>
      <c r="M259" s="139">
        <f>M260*M37</f>
        <v>124.06813891093054</v>
      </c>
      <c r="N259" s="139">
        <f>N260*N37</f>
        <v>400.66502757267307</v>
      </c>
      <c r="O259" s="139">
        <f>O260*O37</f>
        <v>404.54031669681137</v>
      </c>
      <c r="P259" s="139">
        <f>P260*P37</f>
        <v>175.34358759293048</v>
      </c>
      <c r="Q259" s="139">
        <f>Q260*Q37</f>
        <v>178.43128049367817</v>
      </c>
      <c r="R259" s="117"/>
      <c r="S259" s="117"/>
      <c r="T259" s="117"/>
      <c r="U259" s="118"/>
      <c r="V259" s="119"/>
      <c r="W259" s="119"/>
      <c r="X259" s="117"/>
      <c r="Y259" s="117"/>
      <c r="Z259" s="117"/>
      <c r="AA259" s="117"/>
      <c r="AB259" s="117"/>
      <c r="AC259" s="120"/>
    </row>
    <row r="260" spans="1:29" outlineLevel="1" x14ac:dyDescent="0.15">
      <c r="A260" s="128" t="s">
        <v>110</v>
      </c>
      <c r="B260" s="138">
        <f t="shared" ref="B260:L260" si="129">IFERROR(B259/B$49,"")</f>
        <v>0</v>
      </c>
      <c r="C260" s="138">
        <f t="shared" si="129"/>
        <v>5.5293708590082875E-2</v>
      </c>
      <c r="D260" s="138">
        <f t="shared" si="129"/>
        <v>9.25050191727642E-2</v>
      </c>
      <c r="E260" s="138">
        <f t="shared" si="129"/>
        <v>2.7387175831446328E-2</v>
      </c>
      <c r="F260" s="138">
        <f t="shared" si="129"/>
        <v>3.3331824559815322E-2</v>
      </c>
      <c r="G260" s="138">
        <f t="shared" si="129"/>
        <v>3.9151929687776872E-2</v>
      </c>
      <c r="H260" s="138">
        <f t="shared" si="129"/>
        <v>0.10286675001077725</v>
      </c>
      <c r="I260" s="138">
        <f t="shared" si="129"/>
        <v>3.1344539916158987E-2</v>
      </c>
      <c r="J260" s="138">
        <f>IFERROR(J259/J$49,"")</f>
        <v>0.12232090623836621</v>
      </c>
      <c r="K260" s="138">
        <f t="shared" si="129"/>
        <v>1.2760325625530641E-2</v>
      </c>
      <c r="L260" s="138">
        <f t="shared" si="129"/>
        <v>-1.8196981069135185E-2</v>
      </c>
      <c r="M260" s="369">
        <v>0.01</v>
      </c>
      <c r="N260" s="369">
        <f t="shared" ref="N260:Q260" si="130">AVERAGE(I260:M260)</f>
        <v>3.1645758142184136E-2</v>
      </c>
      <c r="O260" s="369">
        <f t="shared" si="130"/>
        <v>3.1706001787389158E-2</v>
      </c>
      <c r="P260" s="369">
        <f t="shared" si="130"/>
        <v>1.3583020897193748E-2</v>
      </c>
      <c r="Q260" s="369">
        <f t="shared" si="130"/>
        <v>1.3747559951526373E-2</v>
      </c>
      <c r="R260" s="117"/>
      <c r="S260" s="117"/>
      <c r="T260" s="117"/>
      <c r="U260" s="118"/>
      <c r="V260" s="119"/>
      <c r="W260" s="119"/>
      <c r="X260" s="117"/>
      <c r="Y260" s="117"/>
      <c r="Z260" s="117"/>
      <c r="AA260" s="117"/>
      <c r="AB260" s="117"/>
      <c r="AC260" s="120"/>
    </row>
    <row r="261" spans="1:29" ht="15" outlineLevel="1" x14ac:dyDescent="0.15">
      <c r="A261" s="218" t="s">
        <v>391</v>
      </c>
      <c r="B261" s="140"/>
      <c r="C261" s="255">
        <v>-6.8</v>
      </c>
      <c r="D261" s="255">
        <v>-16.100000000000001</v>
      </c>
      <c r="E261" s="255">
        <v>43.8</v>
      </c>
      <c r="F261" s="255">
        <v>-24.2</v>
      </c>
      <c r="G261" s="255">
        <v>-40.299999999999997</v>
      </c>
      <c r="H261" s="255">
        <v>39.5</v>
      </c>
      <c r="I261" s="255">
        <v>23.2</v>
      </c>
      <c r="J261" s="255">
        <v>-1199.0999999999999</v>
      </c>
      <c r="K261" s="255">
        <v>-76.7</v>
      </c>
      <c r="L261" s="255">
        <v>15.7</v>
      </c>
      <c r="M261" s="139">
        <f>AVERAGE(K261:L261)</f>
        <v>-30.5</v>
      </c>
      <c r="N261" s="139">
        <f t="shared" ref="N261:Q262" si="131">AVERAGE(L261:M261)</f>
        <v>-7.4</v>
      </c>
      <c r="O261" s="139">
        <f t="shared" si="131"/>
        <v>-18.95</v>
      </c>
      <c r="P261" s="139">
        <f t="shared" si="131"/>
        <v>-13.175000000000001</v>
      </c>
      <c r="Q261" s="139">
        <f t="shared" si="131"/>
        <v>-16.0625</v>
      </c>
      <c r="R261" s="117"/>
      <c r="S261" s="117"/>
      <c r="T261" s="117"/>
      <c r="U261" s="118"/>
      <c r="V261" s="119"/>
      <c r="W261" s="119"/>
      <c r="X261" s="117"/>
      <c r="Y261" s="117"/>
      <c r="Z261" s="117"/>
      <c r="AA261" s="117"/>
      <c r="AB261" s="117"/>
      <c r="AC261" s="120"/>
    </row>
    <row r="262" spans="1:29" outlineLevel="1" x14ac:dyDescent="0.15">
      <c r="A262" s="77" t="s">
        <v>522</v>
      </c>
      <c r="B262" s="140"/>
      <c r="C262" s="255">
        <v>-226.3</v>
      </c>
      <c r="D262" s="255">
        <v>-195.7</v>
      </c>
      <c r="E262" s="255">
        <v>-194.1</v>
      </c>
      <c r="F262" s="255">
        <v>-187.7</v>
      </c>
      <c r="G262" s="255">
        <v>-200.1</v>
      </c>
      <c r="H262" s="255">
        <v>-211.1</v>
      </c>
      <c r="I262" s="255">
        <v>-237.9</v>
      </c>
      <c r="J262" s="255">
        <v>-120.5</v>
      </c>
      <c r="K262" s="255">
        <v>-254.7</v>
      </c>
      <c r="L262" s="255">
        <v>-247</v>
      </c>
      <c r="M262" s="139">
        <f>AVERAGE(K262:L262)</f>
        <v>-250.85</v>
      </c>
      <c r="N262" s="139">
        <f t="shared" si="131"/>
        <v>-248.92500000000001</v>
      </c>
      <c r="O262" s="139">
        <f t="shared" si="131"/>
        <v>-249.88749999999999</v>
      </c>
      <c r="P262" s="139">
        <f t="shared" si="131"/>
        <v>-249.40625</v>
      </c>
      <c r="Q262" s="139">
        <f t="shared" si="131"/>
        <v>-249.64687499999999</v>
      </c>
      <c r="R262" s="117"/>
      <c r="S262" s="117"/>
      <c r="T262" s="117"/>
      <c r="U262" s="130"/>
      <c r="V262" s="119"/>
      <c r="W262" s="119"/>
      <c r="X262" s="117"/>
      <c r="Y262" s="117"/>
      <c r="Z262" s="117"/>
      <c r="AA262" s="117"/>
      <c r="AB262" s="117"/>
      <c r="AC262" s="120"/>
    </row>
    <row r="263" spans="1:29" ht="15.75" customHeight="1" outlineLevel="1" x14ac:dyDescent="0.15">
      <c r="A263" s="77" t="s">
        <v>392</v>
      </c>
      <c r="B263" s="140"/>
      <c r="C263" s="255">
        <v>-196.7</v>
      </c>
      <c r="D263" s="255">
        <v>-21.5</v>
      </c>
      <c r="E263" s="255">
        <v>29.3</v>
      </c>
      <c r="F263" s="255">
        <v>-167.3</v>
      </c>
      <c r="G263" s="255">
        <v>-101.8</v>
      </c>
      <c r="H263" s="255">
        <v>-4.7</v>
      </c>
      <c r="I263" s="255">
        <v>37.5</v>
      </c>
      <c r="J263" s="255">
        <v>242.9</v>
      </c>
      <c r="K263" s="255">
        <v>678</v>
      </c>
      <c r="L263" s="255">
        <v>566</v>
      </c>
      <c r="M263" s="139">
        <f>AVERAGE(H263:L263)</f>
        <v>303.94</v>
      </c>
      <c r="N263" s="139">
        <f t="shared" ref="N263:Q263" si="132">AVERAGE(I263:M263)</f>
        <v>365.66800000000001</v>
      </c>
      <c r="O263" s="139">
        <f t="shared" si="132"/>
        <v>431.30160000000006</v>
      </c>
      <c r="P263" s="139">
        <f t="shared" si="132"/>
        <v>468.98192000000006</v>
      </c>
      <c r="Q263" s="139">
        <f t="shared" si="132"/>
        <v>427.17830400000003</v>
      </c>
      <c r="R263" s="117"/>
      <c r="S263" s="117"/>
      <c r="T263" s="117"/>
      <c r="U263" s="118"/>
      <c r="V263" s="119"/>
      <c r="W263" s="119"/>
      <c r="X263" s="117"/>
      <c r="Y263" s="117"/>
      <c r="Z263" s="117"/>
      <c r="AA263" s="117"/>
      <c r="AB263" s="117"/>
      <c r="AC263" s="120"/>
    </row>
    <row r="264" spans="1:29" outlineLevel="1" x14ac:dyDescent="0.15">
      <c r="A264" s="77" t="s">
        <v>393</v>
      </c>
      <c r="B264" s="138" t="str">
        <f>IFERROR(#REF!/B$49,"")</f>
        <v/>
      </c>
      <c r="C264" s="139">
        <v>-54.100000000000101</v>
      </c>
      <c r="D264" s="139">
        <v>-16.600000000000101</v>
      </c>
      <c r="E264" s="139">
        <v>152.6</v>
      </c>
      <c r="F264" s="139">
        <v>94</v>
      </c>
      <c r="G264" s="139">
        <v>-33.200000000000301</v>
      </c>
      <c r="H264" s="139">
        <v>-105.1</v>
      </c>
      <c r="I264" s="139">
        <v>332.3</v>
      </c>
      <c r="J264" s="139">
        <v>-1054.8</v>
      </c>
      <c r="K264" s="139">
        <v>-122.9</v>
      </c>
      <c r="L264" s="139">
        <v>-62.599999999999902</v>
      </c>
      <c r="M264" s="139">
        <f>AVERAGE(K264:L264)</f>
        <v>-92.749999999999957</v>
      </c>
      <c r="N264" s="139">
        <f t="shared" ref="N264:Q264" si="133">AVERAGE(L264:M264)</f>
        <v>-77.674999999999926</v>
      </c>
      <c r="O264" s="139">
        <f t="shared" si="133"/>
        <v>-85.212499999999949</v>
      </c>
      <c r="P264" s="139">
        <f t="shared" si="133"/>
        <v>-81.443749999999937</v>
      </c>
      <c r="Q264" s="139">
        <f t="shared" si="133"/>
        <v>-83.328124999999943</v>
      </c>
      <c r="R264" s="117"/>
      <c r="S264" s="117"/>
      <c r="T264" s="117"/>
      <c r="U264" s="118"/>
      <c r="V264" s="119"/>
      <c r="W264" s="119"/>
      <c r="X264" s="117"/>
      <c r="Y264" s="117"/>
      <c r="Z264" s="117"/>
      <c r="AA264" s="117"/>
      <c r="AB264" s="117"/>
      <c r="AC264" s="120"/>
    </row>
    <row r="265" spans="1:29" outlineLevel="1" x14ac:dyDescent="0.15">
      <c r="A265" s="108" t="s">
        <v>136</v>
      </c>
      <c r="B265" s="164">
        <f>CHOOSE(IF($B$1=2,2,1),'GAAP-IFRS'!E56,IF('Broker Actual'!E56="-",'GAAP-IFRS'!E56,'Broker Actual'!E56))</f>
        <v>1379.6</v>
      </c>
      <c r="C265" s="164">
        <f>CHOOSE(IF($B$1=2,2,1),'GAAP-IFRS'!F56,IF('Broker Actual'!F56="-",'GAAP-IFRS'!F56,'Broker Actual'!F56))</f>
        <v>1031.5</v>
      </c>
      <c r="D265" s="164">
        <f>CHOOSE(IF($B$1=2,2,1),'GAAP-IFRS'!G56,IF('Broker Actual'!G56="-",'GAAP-IFRS'!G56,'Broker Actual'!G56))</f>
        <v>1223.5999999999999</v>
      </c>
      <c r="E265" s="164">
        <f>CHOOSE(IF($B$1=2,2,1),'GAAP-IFRS'!H56,IF('Broker Actual'!H56="-",'GAAP-IFRS'!H56,'GAAP-IFRS'!H56))</f>
        <v>1292.0999999999999</v>
      </c>
      <c r="F265" s="164">
        <f>CHOOSE(IF($B$1=2,2,1),'GAAP-IFRS'!I56,IF('Broker Actual'!I56="-",'GAAP-IFRS'!I56,'GAAP-IFRS'!I56))</f>
        <v>1116.0999999999999</v>
      </c>
      <c r="G265" s="164">
        <f>CHOOSE(IF($B$1=2,2,1),'GAAP-IFRS'!J56,IF('Broker Actual'!J56="-",'GAAP-IFRS'!J56,'GAAP-IFRS'!J56))</f>
        <v>1164.0999999999999</v>
      </c>
      <c r="H265" s="164">
        <f>CHOOSE(IF($B$1=2,2,1),'GAAP-IFRS'!K56,IF('Broker Actual'!K56="-",'GAAP-IFRS'!K56,'GAAP-IFRS'!K56))</f>
        <v>1536.5</v>
      </c>
      <c r="I265" s="164">
        <f>CHOOSE(IF($B$1=2,2,1),'GAAP-IFRS'!L56,IF('Broker Actual'!L56="-",'GAAP-IFRS'!L56,'GAAP-IFRS'!L56))</f>
        <v>1741.6</v>
      </c>
      <c r="J265" s="164">
        <f>CHOOSE(IF($B$1=2,2,1),'GAAP-IFRS'!M56,IF('Broker Actual'!M56="-",'GAAP-IFRS'!M56,'GAAP-IFRS'!M56))</f>
        <v>597.5</v>
      </c>
      <c r="K265" s="164">
        <f>CHOOSE(IF($B$1=2,2,1),'GAAP-IFRS'!N56,IF('Broker Actual'!N56="-",'GAAP-IFRS'!N56,'GAAP-IFRS'!N56))</f>
        <v>1387.5</v>
      </c>
      <c r="L265" s="164">
        <f>CHOOSE(IF($B$1=2,2,1),'GAAP-IFRS'!O56,IF('Broker Actual'!O56="-",'GAAP-IFRS'!O56,'GAAP-IFRS'!O56))</f>
        <v>1418.7</v>
      </c>
      <c r="M265" s="139">
        <f>M264+M263+M262+M261+M259+M255+M254</f>
        <v>1679.2237792049468</v>
      </c>
      <c r="N265" s="139">
        <f t="shared" ref="N265:Q265" si="134">N264+N263+N262+N261+N259+N255+N254</f>
        <v>1782.753546102258</v>
      </c>
      <c r="O265" s="139">
        <f t="shared" si="134"/>
        <v>1729.1535671520089</v>
      </c>
      <c r="P265" s="139">
        <f t="shared" si="134"/>
        <v>1398.7214866310808</v>
      </c>
      <c r="Q265" s="139">
        <f t="shared" si="134"/>
        <v>1267.5836401261115</v>
      </c>
      <c r="R265" s="117"/>
      <c r="S265" s="117"/>
      <c r="T265" s="117"/>
      <c r="U265" s="118"/>
      <c r="V265" s="119"/>
      <c r="W265" s="119"/>
      <c r="X265" s="117"/>
      <c r="Y265" s="117"/>
      <c r="Z265" s="117"/>
      <c r="AA265" s="117"/>
      <c r="AB265" s="117"/>
      <c r="AC265" s="120"/>
    </row>
    <row r="266" spans="1:29" outlineLevel="1" x14ac:dyDescent="0.15">
      <c r="A266" s="108"/>
      <c r="B266" s="164"/>
      <c r="C266" s="164"/>
      <c r="D266" s="164"/>
      <c r="E266" s="164"/>
      <c r="F266" s="164"/>
      <c r="G266" s="164"/>
      <c r="H266" s="164"/>
      <c r="I266" s="164"/>
      <c r="J266" s="164"/>
      <c r="K266" s="164"/>
      <c r="L266" s="164"/>
      <c r="P266" s="117"/>
      <c r="Q266" s="117"/>
      <c r="R266" s="117"/>
      <c r="S266" s="117"/>
      <c r="T266" s="117"/>
      <c r="U266" s="118"/>
      <c r="V266" s="119"/>
      <c r="W266" s="119"/>
      <c r="X266" s="117"/>
      <c r="Y266" s="117"/>
      <c r="Z266" s="117"/>
      <c r="AA266" s="117"/>
      <c r="AB266" s="117"/>
      <c r="AC266" s="120"/>
    </row>
    <row r="267" spans="1:29" ht="18.75" customHeight="1" outlineLevel="1" x14ac:dyDescent="0.15">
      <c r="A267" s="108"/>
      <c r="B267" s="164"/>
      <c r="C267" s="164"/>
      <c r="D267" s="164"/>
      <c r="E267" s="164"/>
      <c r="F267" s="164"/>
      <c r="G267" s="164"/>
      <c r="H267" s="164"/>
      <c r="I267" s="164"/>
      <c r="J267" s="164"/>
      <c r="K267" s="164"/>
      <c r="L267" s="164"/>
      <c r="P267" s="117"/>
      <c r="Q267" s="117"/>
      <c r="R267" s="117"/>
      <c r="S267" s="117"/>
      <c r="T267" s="117"/>
      <c r="U267" s="118"/>
      <c r="V267" s="119"/>
      <c r="W267" s="119"/>
      <c r="X267" s="117"/>
      <c r="Y267" s="117"/>
      <c r="Z267" s="117"/>
      <c r="AA267" s="117"/>
      <c r="AB267" s="117"/>
      <c r="AC267" s="120"/>
    </row>
    <row r="268" spans="1:29" ht="18.75" customHeight="1" outlineLevel="1" x14ac:dyDescent="0.15">
      <c r="A268" s="108"/>
      <c r="B268" s="16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P268" s="117"/>
      <c r="Q268" s="117"/>
      <c r="R268" s="117"/>
      <c r="S268" s="117"/>
      <c r="T268" s="117"/>
      <c r="U268" s="118"/>
      <c r="V268" s="119"/>
      <c r="W268" s="119"/>
      <c r="X268" s="117"/>
      <c r="Y268" s="117"/>
      <c r="Z268" s="117"/>
      <c r="AA268" s="117"/>
      <c r="AB268" s="117"/>
      <c r="AC268" s="120"/>
    </row>
    <row r="269" spans="1:29" ht="18.75" customHeight="1" outlineLevel="1" x14ac:dyDescent="0.15">
      <c r="A269" s="108" t="s">
        <v>138</v>
      </c>
      <c r="B269" s="140"/>
      <c r="C269" s="140"/>
      <c r="D269" s="140"/>
      <c r="E269" s="140"/>
      <c r="F269" s="140"/>
      <c r="G269" s="140"/>
      <c r="H269" s="140"/>
      <c r="I269" s="140"/>
      <c r="J269" s="140"/>
      <c r="K269" s="140"/>
      <c r="L269" s="140"/>
      <c r="P269" s="117"/>
      <c r="Q269" s="117"/>
      <c r="R269" s="117"/>
      <c r="S269" s="117"/>
      <c r="T269" s="117"/>
      <c r="U269" s="118"/>
      <c r="V269" s="119"/>
      <c r="W269" s="119"/>
      <c r="X269" s="117"/>
      <c r="Y269" s="117"/>
      <c r="Z269" s="117"/>
      <c r="AA269" s="117"/>
      <c r="AB269" s="117"/>
      <c r="AC269" s="120"/>
    </row>
    <row r="270" spans="1:29" ht="18.75" customHeight="1" outlineLevel="1" x14ac:dyDescent="0.15">
      <c r="A270" s="183" t="s">
        <v>139</v>
      </c>
      <c r="B270" s="140" t="e">
        <f>CHOOSE(IF($B$1=2,2,1),'GAAP-IFRS'!E59,IF('Broker Actual'!E59="-",'GAAP-IFRS'!E59,'Broker Actual'!E59))</f>
        <v>#VALUE!</v>
      </c>
      <c r="C270" s="140">
        <f>CHOOSE(IF($B$1=2,1,1),'GAAP-IFRS'!F59,IF('Broker Actual'!F59="-",'GAAP-IFRS'!F59,'Broker Actual'!F59))</f>
        <v>-105.5</v>
      </c>
      <c r="D270" s="140">
        <f>CHOOSE(IF($B$1=2,1,1),'GAAP-IFRS'!G59,IF('Broker Actual'!G59="-",'GAAP-IFRS'!G59,'Broker Actual'!G59))</f>
        <v>-114.5</v>
      </c>
      <c r="E270" s="140">
        <f>CHOOSE(IF($B$1=2,1,1),'GAAP-IFRS'!H59,IF('Broker Actual'!H59="-",'GAAP-IFRS'!H59,'Broker Actual'!H59))</f>
        <v>-100.2</v>
      </c>
      <c r="F270" s="140">
        <f>CHOOSE(IF($B$1=2,1,1),'GAAP-IFRS'!I59,IF('Broker Actual'!I59="-",'GAAP-IFRS'!I59,'Broker Actual'!I59))</f>
        <v>-85</v>
      </c>
      <c r="G270" s="140">
        <f>CHOOSE(IF($B$1=2,1,1),'GAAP-IFRS'!J59,IF('Broker Actual'!J59="-",'GAAP-IFRS'!J59,'Broker Actual'!J59))</f>
        <v>-105.3</v>
      </c>
      <c r="H270" s="140">
        <f>CHOOSE(IF($B$1=2,1,1),'GAAP-IFRS'!K59,IF('Broker Actual'!K59="-",'GAAP-IFRS'!K59,'Broker Actual'!K59))</f>
        <v>-144.1</v>
      </c>
      <c r="I270" s="140">
        <f>CHOOSE(IF($B$1=2,1,1),'GAAP-IFRS'!L59,IF('Broker Actual'!L59="-",'GAAP-IFRS'!L59,'Broker Actual'!L59))</f>
        <v>-150.9</v>
      </c>
      <c r="J270" s="140">
        <f>CHOOSE(IF($B$1=2,1,1),'GAAP-IFRS'!M59,IF('Broker Actual'!M59="-",'GAAP-IFRS'!M59,'Broker Actual'!M59))</f>
        <v>-119.1</v>
      </c>
      <c r="K270" s="140">
        <f>CHOOSE(IF($B$1=2,1,1),'GAAP-IFRS'!N59,IF('Broker Actual'!N59="-",'GAAP-IFRS'!N59,'Broker Actual'!N59))</f>
        <v>-110.3</v>
      </c>
      <c r="L270" s="140">
        <f>CHOOSE(IF($B$1=2,1,1),'GAAP-IFRS'!O59,IF('Broker Actual'!O59="-",'GAAP-IFRS'!O59,'Broker Actual'!O59))</f>
        <v>-102.2</v>
      </c>
      <c r="M270" s="139">
        <f>M271*M37</f>
        <v>-124.06813891093054</v>
      </c>
      <c r="N270" s="139">
        <f>N271*N37</f>
        <v>-189.91409169555442</v>
      </c>
      <c r="O270" s="139">
        <f>O271*O37</f>
        <v>-191.38662740080071</v>
      </c>
      <c r="P270" s="139">
        <f>P271*P37</f>
        <v>-258.18054602147669</v>
      </c>
      <c r="Q270" s="139">
        <f>Q271*Q37</f>
        <v>-259.58247299567836</v>
      </c>
      <c r="R270" s="117"/>
      <c r="S270" s="117"/>
      <c r="T270" s="117"/>
      <c r="U270" s="118"/>
      <c r="V270" s="119"/>
      <c r="W270" s="119"/>
      <c r="X270" s="117"/>
      <c r="Y270" s="117"/>
      <c r="Z270" s="117"/>
      <c r="AA270" s="117"/>
      <c r="AB270" s="117"/>
      <c r="AC270" s="120"/>
    </row>
    <row r="271" spans="1:29" outlineLevel="1" x14ac:dyDescent="0.15">
      <c r="A271" s="128" t="s">
        <v>110</v>
      </c>
      <c r="B271" s="138" t="str">
        <f t="shared" ref="B271:L271" si="135">IFERROR(B270/B$49,"")</f>
        <v/>
      </c>
      <c r="C271" s="138">
        <f t="shared" si="135"/>
        <v>-1.0189495644111342E-2</v>
      </c>
      <c r="D271" s="138">
        <f t="shared" si="135"/>
        <v>-1.0894697279655936E-2</v>
      </c>
      <c r="E271" s="138">
        <f t="shared" si="135"/>
        <v>-9.3371725699589059E-3</v>
      </c>
      <c r="F271" s="138">
        <f t="shared" si="135"/>
        <v>-7.6947449418367812E-3</v>
      </c>
      <c r="G271" s="138">
        <f t="shared" si="135"/>
        <v>-9.3294822270262607E-3</v>
      </c>
      <c r="H271" s="138">
        <f t="shared" si="135"/>
        <v>-1.2424020347458722E-2</v>
      </c>
      <c r="I271" s="138">
        <f t="shared" si="135"/>
        <v>-1.2576152814007951E-2</v>
      </c>
      <c r="J271" s="138">
        <f t="shared" si="135"/>
        <v>-9.0487080329126803E-3</v>
      </c>
      <c r="K271" s="138">
        <f t="shared" si="135"/>
        <v>-9.1811083920158489E-3</v>
      </c>
      <c r="L271" s="138">
        <f t="shared" si="135"/>
        <v>-8.5230589608873333E-3</v>
      </c>
      <c r="M271" s="138">
        <v>-0.01</v>
      </c>
      <c r="N271" s="138">
        <v>-1.4999999999999999E-2</v>
      </c>
      <c r="O271" s="138">
        <f>N271</f>
        <v>-1.4999999999999999E-2</v>
      </c>
      <c r="P271" s="138">
        <v>-0.02</v>
      </c>
      <c r="Q271" s="138">
        <f t="shared" ref="Q271" si="136">P271</f>
        <v>-0.02</v>
      </c>
      <c r="R271" s="117"/>
      <c r="S271" s="117"/>
      <c r="T271" s="117"/>
      <c r="U271" s="118"/>
      <c r="V271" s="119"/>
      <c r="W271" s="119"/>
      <c r="X271" s="117"/>
      <c r="Y271" s="117"/>
      <c r="Z271" s="117"/>
      <c r="AA271" s="117"/>
      <c r="AB271" s="117"/>
      <c r="AC271" s="120"/>
    </row>
    <row r="272" spans="1:29" outlineLevel="1" x14ac:dyDescent="0.15">
      <c r="A272" s="183" t="s">
        <v>141</v>
      </c>
      <c r="B272" s="140">
        <f>CHOOSE(IF($B$1=2,2,1),'GAAP-IFRS'!E60,IF('Broker Actual'!E60="-",'GAAP-IFRS'!E60,'Broker Actual'!E60))</f>
        <v>0</v>
      </c>
      <c r="C272" s="140">
        <f>CHOOSE(IF($B$1=2,2,1),'GAAP-IFRS'!F60,IF('Broker Actual'!F60="-",'GAAP-IFRS'!F60,'Broker Actual'!F60))</f>
        <v>0</v>
      </c>
      <c r="D272" s="140">
        <f>CHOOSE(IF($B$1=2,2,1),'GAAP-IFRS'!G60,IF('Broker Actual'!G60="-",'GAAP-IFRS'!G60,'Broker Actual'!G60))</f>
        <v>0</v>
      </c>
      <c r="E272" s="140">
        <f>CHOOSE(IF($B$1=2,2,1),'GAAP-IFRS'!H60,IF('Broker Actual'!H60="-",'GAAP-IFRS'!H60,'Broker Actual'!H60))</f>
        <v>-54.3</v>
      </c>
      <c r="F272" s="140">
        <f>CHOOSE(IF($B$1=2,2,1),'GAAP-IFRS'!I60,IF('Broker Actual'!I60="-",'GAAP-IFRS'!I60,'Broker Actual'!I60))</f>
        <v>-129.19999999999999</v>
      </c>
      <c r="G272" s="140">
        <f>CHOOSE(IF($B$1=2,2,1),'GAAP-IFRS'!J60,IF('Broker Actual'!J60="-",'GAAP-IFRS'!J60,'Broker Actual'!J60))</f>
        <v>0</v>
      </c>
      <c r="H272" s="140">
        <f>CHOOSE(IF($B$1=2,2,1),'GAAP-IFRS'!K60,IF('Broker Actual'!K60="-",'GAAP-IFRS'!K60,'Broker Actual'!K60))</f>
        <v>-145.4</v>
      </c>
      <c r="I272" s="140">
        <f>CHOOSE(IF($B$1=2,2,1),'GAAP-IFRS'!L60,IF('Broker Actual'!L60="-",'GAAP-IFRS'!L60,'Broker Actual'!L60))</f>
        <v>0</v>
      </c>
      <c r="J272" s="140">
        <f>CHOOSE(IF($B$1=2,2,1),'GAAP-IFRS'!M60,IF('Broker Actual'!M60="-",'GAAP-IFRS'!M60,'Broker Actual'!M60))</f>
        <v>0</v>
      </c>
      <c r="K272" s="140">
        <f>CHOOSE(IF($B$1=2,2,1),'GAAP-IFRS'!N60,IF('Broker Actual'!N60="-",'GAAP-IFRS'!N60,'Broker Actual'!N60))</f>
        <v>0</v>
      </c>
      <c r="L272" s="140">
        <f>CHOOSE(IF($B$1=2,2,1),'GAAP-IFRS'!O60,IF('Broker Actual'!O60="-",'GAAP-IFRS'!O60,'Broker Actual'!O60))</f>
        <v>0</v>
      </c>
      <c r="M272" s="139">
        <f>AVERAGE(L272)</f>
        <v>0</v>
      </c>
      <c r="N272" s="139">
        <f t="shared" ref="N272:Q272" si="137">AVERAGE(M272)</f>
        <v>0</v>
      </c>
      <c r="O272" s="139">
        <f t="shared" si="137"/>
        <v>0</v>
      </c>
      <c r="P272" s="139">
        <f t="shared" si="137"/>
        <v>0</v>
      </c>
      <c r="Q272" s="139">
        <f t="shared" si="137"/>
        <v>0</v>
      </c>
      <c r="R272" s="117"/>
      <c r="S272" s="117"/>
      <c r="T272" s="117"/>
      <c r="U272" s="118"/>
      <c r="V272" s="147" t="s">
        <v>78</v>
      </c>
      <c r="W272" s="147" t="s">
        <v>159</v>
      </c>
      <c r="X272" s="145" t="str" cm="1">
        <f t="array" ref="X272">_xll.FDSC("--",$A$1,""&amp;$V272&amp;"("&amp;$W272&amp;","&amp;D$2&amp;",ANNUAL_ROLL,+1,0,,,'CURRENCY="&amp;$E$1&amp;"')")</f>
        <v>--</v>
      </c>
      <c r="Y272" s="145" t="str" cm="1">
        <f t="array" ref="Y272">_xll.FDSC("--",$A$1,""&amp;$V272&amp;"("&amp;$W272&amp;","&amp;D$2&amp;",ANNUAL_ROLL,+2,0,,,'CURRENCY="&amp;$E$1&amp;"')")</f>
        <v>--</v>
      </c>
      <c r="Z272" s="145" t="str" cm="1">
        <f t="array" ref="Z272">_xll.FDSC("--",$A$1,""&amp;$V272&amp;"("&amp;$W272&amp;","&amp;D$2&amp;",ANNUAL_ROLL,+3,0,,,'CURRENCY="&amp;$E$1&amp;"')")</f>
        <v>--</v>
      </c>
      <c r="AA272" s="117"/>
      <c r="AB272" s="117"/>
      <c r="AC272" s="120"/>
    </row>
    <row r="273" spans="1:29" outlineLevel="1" x14ac:dyDescent="0.15">
      <c r="A273" s="183" t="s">
        <v>142</v>
      </c>
      <c r="B273" s="140">
        <f>CHOOSE(IF($B$1=2,2,1),'GAAP-IFRS'!E61,IF('Broker Actual'!E61="-",'GAAP-IFRS'!E61,'Broker Actual'!E61))</f>
        <v>0</v>
      </c>
      <c r="C273" s="140">
        <f>CHOOSE(IF($B$1=2,2,1),'GAAP-IFRS'!F61,IF('Broker Actual'!F61="-",'GAAP-IFRS'!F61,'Broker Actual'!F61))</f>
        <v>0</v>
      </c>
      <c r="D273" s="140">
        <f>CHOOSE(IF($B$1=2,2,1),'GAAP-IFRS'!G61,IF('Broker Actual'!G61="-",'GAAP-IFRS'!G61,'Broker Actual'!G61))</f>
        <v>0</v>
      </c>
      <c r="E273" s="140">
        <f>CHOOSE(IF($B$1=2,2,1),'GAAP-IFRS'!H61,IF('Broker Actual'!H61="-",'GAAP-IFRS'!H61,'Broker Actual'!H61))</f>
        <v>0</v>
      </c>
      <c r="F273" s="140">
        <f>CHOOSE(IF($B$1=2,2,1),'GAAP-IFRS'!I61,IF('Broker Actual'!I61="-",'GAAP-IFRS'!I61,'Broker Actual'!I61))</f>
        <v>0</v>
      </c>
      <c r="G273" s="140">
        <f>CHOOSE(IF($B$1=2,2,1),'GAAP-IFRS'!J61,IF('Broker Actual'!J61="-",'GAAP-IFRS'!J61,'Broker Actual'!J61))</f>
        <v>0</v>
      </c>
      <c r="H273" s="140">
        <f>CHOOSE(IF($B$1=2,2,1),'GAAP-IFRS'!K61,IF('Broker Actual'!K61="-",'GAAP-IFRS'!K61,'Broker Actual'!K61))</f>
        <v>0</v>
      </c>
      <c r="I273" s="140">
        <f>CHOOSE(IF($B$1=2,2,1),'GAAP-IFRS'!L61,IF('Broker Actual'!L61="-",'GAAP-IFRS'!L61,'Broker Actual'!L61))</f>
        <v>0</v>
      </c>
      <c r="J273" s="140">
        <f>CHOOSE(IF($B$1=2,2,1),'GAAP-IFRS'!M61,IF('Broker Actual'!M61="-",'GAAP-IFRS'!M61,'Broker Actual'!M61))</f>
        <v>0</v>
      </c>
      <c r="K273" s="140">
        <f>CHOOSE(IF($B$1=2,2,1),'GAAP-IFRS'!N61,IF('Broker Actual'!N61="-",'GAAP-IFRS'!N61,'Broker Actual'!N61))</f>
        <v>0</v>
      </c>
      <c r="L273" s="140">
        <f>CHOOSE(IF($B$1=2,2,1),'GAAP-IFRS'!O61,IF('Broker Actual'!O61="-",'GAAP-IFRS'!O61,'Broker Actual'!O61))</f>
        <v>0</v>
      </c>
      <c r="M273" s="139">
        <f>AVERAGE(I273:L273)</f>
        <v>0</v>
      </c>
      <c r="N273" s="139">
        <f t="shared" ref="N273:Q273" si="138">AVERAGE(J273:M273)</f>
        <v>0</v>
      </c>
      <c r="O273" s="139">
        <f t="shared" si="138"/>
        <v>0</v>
      </c>
      <c r="P273" s="139">
        <f t="shared" si="138"/>
        <v>0</v>
      </c>
      <c r="Q273" s="139">
        <f t="shared" si="138"/>
        <v>0</v>
      </c>
      <c r="R273" s="117"/>
      <c r="S273" s="117"/>
      <c r="T273" s="117"/>
      <c r="U273" s="118"/>
      <c r="V273" s="119"/>
      <c r="W273" s="119"/>
      <c r="X273" s="117"/>
      <c r="Y273" s="117"/>
      <c r="Z273" s="117"/>
      <c r="AA273" s="117"/>
      <c r="AB273" s="117"/>
      <c r="AC273" s="120"/>
    </row>
    <row r="274" spans="1:29" outlineLevel="1" x14ac:dyDescent="0.15">
      <c r="A274" s="186" t="s">
        <v>143</v>
      </c>
      <c r="B274" s="140"/>
      <c r="C274" s="140"/>
      <c r="D274" s="140"/>
      <c r="E274" s="140"/>
      <c r="F274" s="140"/>
      <c r="G274" s="140"/>
      <c r="H274" s="140"/>
      <c r="I274" s="140"/>
      <c r="J274" s="140"/>
      <c r="K274" s="140"/>
      <c r="L274" s="140"/>
      <c r="P274" s="117"/>
      <c r="Q274" s="117"/>
      <c r="R274" s="117"/>
      <c r="S274" s="117"/>
      <c r="T274" s="117"/>
      <c r="U274" s="118"/>
      <c r="V274" s="119"/>
      <c r="W274" s="119"/>
      <c r="X274" s="117"/>
      <c r="Y274" s="117"/>
      <c r="Z274" s="117"/>
      <c r="AA274" s="117"/>
      <c r="AB274" s="117"/>
      <c r="AC274" s="120"/>
    </row>
    <row r="275" spans="1:29" outlineLevel="1" x14ac:dyDescent="0.15">
      <c r="A275" s="184" t="s">
        <v>144</v>
      </c>
      <c r="B275" s="140">
        <f>CHOOSE(IF($B$1=2,2,1),'GAAP-IFRS'!E63,IF('Broker Actual'!E63="-",'GAAP-IFRS'!E63,'Broker Actual'!E63))</f>
        <v>-3946.7</v>
      </c>
      <c r="C275" s="140">
        <f>CHOOSE(IF($B$1=2,2,1),'GAAP-IFRS'!F63,IF('Broker Actual'!F63="-",'GAAP-IFRS'!F63,'Broker Actual'!F63))</f>
        <v>-3917.3</v>
      </c>
      <c r="D275" s="140">
        <f>CHOOSE(IF($B$1=2,2,1),'GAAP-IFRS'!G63,IF('Broker Actual'!G63="-",'GAAP-IFRS'!G63,'Broker Actual'!G63))</f>
        <v>-3272.9</v>
      </c>
      <c r="E275" s="140">
        <f>CHOOSE(IF($B$1=2,2,1),'GAAP-IFRS'!H63,IF('Broker Actual'!H63="-",'GAAP-IFRS'!H63,'Broker Actual'!H63))</f>
        <v>-4714.8</v>
      </c>
      <c r="F275" s="140">
        <f>CHOOSE(IF($B$1=2,2,1),'GAAP-IFRS'!I63,IF('Broker Actual'!I63="-",'GAAP-IFRS'!I63,'Broker Actual'!I63))</f>
        <v>-3938.8</v>
      </c>
      <c r="G275" s="140">
        <f>CHOOSE(IF($B$1=2,2,1),'GAAP-IFRS'!J63,IF('Broker Actual'!J63="-",'GAAP-IFRS'!J63,'Broker Actual'!J63))</f>
        <v>-3639.2</v>
      </c>
      <c r="H275" s="140">
        <f>CHOOSE(IF($B$1=2,2,1),'GAAP-IFRS'!K63,IF('Broker Actual'!K63="-",'GAAP-IFRS'!K63,'Broker Actual'!K63))</f>
        <v>-4484.8999999999996</v>
      </c>
      <c r="I275" s="140">
        <f>CHOOSE(IF($B$1=2,2,1),'GAAP-IFRS'!L63,IF('Broker Actual'!L63="-",'GAAP-IFRS'!L63,'Broker Actual'!L63))</f>
        <v>-4858.5</v>
      </c>
      <c r="J275" s="140">
        <f>CHOOSE(IF($B$1=2,2,1),'GAAP-IFRS'!M63,IF('Broker Actual'!M63="-",'GAAP-IFRS'!M63,'Broker Actual'!M63))</f>
        <v>-3743.3</v>
      </c>
      <c r="K275" s="140">
        <f>CHOOSE(IF($B$1=2,2,1),'GAAP-IFRS'!N63,IF('Broker Actual'!N63="-",'GAAP-IFRS'!N63,'Broker Actual'!N63))</f>
        <v>-4713.1000000000004</v>
      </c>
      <c r="L275" s="140">
        <f>CHOOSE(IF($B$1=2,2,1),'GAAP-IFRS'!O63,IF('Broker Actual'!O63="-",'GAAP-IFRS'!O63,'Broker Actual'!O63))</f>
        <v>-3340.8</v>
      </c>
      <c r="M275" s="139">
        <f>M276*M151</f>
        <v>-3718.1560102084968</v>
      </c>
      <c r="N275" s="139">
        <f t="shared" ref="N275:Q275" si="139">N276*N151</f>
        <v>-3790.7889805827558</v>
      </c>
      <c r="O275" s="139">
        <f t="shared" si="139"/>
        <v>-3839.1773814974899</v>
      </c>
      <c r="P275" s="139">
        <f t="shared" si="139"/>
        <v>-3931.2762828693035</v>
      </c>
      <c r="Q275" s="139">
        <f t="shared" si="139"/>
        <v>-4011.3016083202283</v>
      </c>
      <c r="R275" s="117"/>
      <c r="S275" s="117"/>
      <c r="T275" s="117"/>
      <c r="U275" s="118"/>
      <c r="V275" s="119"/>
      <c r="W275" s="119"/>
      <c r="X275" s="117"/>
      <c r="Y275" s="117"/>
      <c r="Z275" s="117"/>
      <c r="AA275" s="117"/>
      <c r="AB275" s="117"/>
      <c r="AC275" s="120"/>
    </row>
    <row r="276" spans="1:29" outlineLevel="1" x14ac:dyDescent="0.15">
      <c r="A276" s="483" t="s">
        <v>591</v>
      </c>
      <c r="B276" s="140"/>
      <c r="C276" s="300">
        <f>C275/C151</f>
        <v>-8.0083982590171909E-2</v>
      </c>
      <c r="D276" s="300">
        <f t="shared" ref="D276:L276" si="140">D275/D151</f>
        <v>-6.324762210275299E-2</v>
      </c>
      <c r="E276" s="300">
        <f t="shared" si="140"/>
        <v>-9.4251324872010669E-2</v>
      </c>
      <c r="F276" s="300">
        <f t="shared" si="140"/>
        <v>-7.7033652840063443E-2</v>
      </c>
      <c r="G276" s="300">
        <f t="shared" si="140"/>
        <v>-6.8607194027599724E-2</v>
      </c>
      <c r="H276" s="300">
        <f t="shared" si="140"/>
        <v>-8.8446307851288555E-2</v>
      </c>
      <c r="I276" s="300">
        <f t="shared" si="140"/>
        <v>-8.7134071870140911E-2</v>
      </c>
      <c r="J276" s="300">
        <f t="shared" si="140"/>
        <v>-7.1052606603585561E-2</v>
      </c>
      <c r="K276" s="300">
        <f t="shared" si="140"/>
        <v>-9.0375319029804238E-2</v>
      </c>
      <c r="L276" s="300">
        <f t="shared" si="140"/>
        <v>-7.6427001095801403E-2</v>
      </c>
      <c r="M276" s="485">
        <f>AVERAGE(H276:L276)</f>
        <v>-8.2687061290124139E-2</v>
      </c>
      <c r="N276" s="485">
        <f t="shared" ref="N276:O276" si="141">AVERAGE(I276:M276)</f>
        <v>-8.153521197789125E-2</v>
      </c>
      <c r="O276" s="485">
        <f t="shared" si="141"/>
        <v>-8.0415439999441327E-2</v>
      </c>
      <c r="P276" s="485">
        <f>O276</f>
        <v>-8.0415439999441327E-2</v>
      </c>
      <c r="Q276" s="485">
        <f t="shared" ref="Q276" si="142">P276</f>
        <v>-8.0415439999441327E-2</v>
      </c>
      <c r="R276" s="117"/>
      <c r="S276" s="117"/>
      <c r="T276" s="117"/>
      <c r="U276" s="118"/>
      <c r="V276" s="119"/>
      <c r="W276" s="119"/>
      <c r="X276" s="117"/>
      <c r="Y276" s="117"/>
      <c r="Z276" s="117"/>
      <c r="AA276" s="117"/>
      <c r="AB276" s="117"/>
      <c r="AC276" s="120"/>
    </row>
    <row r="277" spans="1:29" outlineLevel="1" x14ac:dyDescent="0.15">
      <c r="A277" s="184" t="s">
        <v>145</v>
      </c>
      <c r="B277" s="140">
        <f>CHOOSE(IF($B$1=2,2,1),'GAAP-IFRS'!E64,IF('Broker Actual'!E64="-",'GAAP-IFRS'!E64,'Broker Actual'!E64))</f>
        <v>2938.6</v>
      </c>
      <c r="C277" s="140">
        <f>CHOOSE(IF($B$1=2,2,1),'GAAP-IFRS'!F64,IF('Broker Actual'!F64="-",'GAAP-IFRS'!F64,'Broker Actual'!F64))</f>
        <v>3982.7</v>
      </c>
      <c r="D277" s="140">
        <f>CHOOSE(IF($B$1=2,2,1),'GAAP-IFRS'!G64,IF('Broker Actual'!G64="-",'GAAP-IFRS'!G64,'Broker Actual'!G64))</f>
        <v>2504.5</v>
      </c>
      <c r="E277" s="140">
        <f>CHOOSE(IF($B$1=2,2,1),'GAAP-IFRS'!H64,IF('Broker Actual'!H64="-",'GAAP-IFRS'!H64,'Broker Actual'!H64))</f>
        <v>3814.7</v>
      </c>
      <c r="F277" s="140">
        <f>CHOOSE(IF($B$1=2,2,1),'GAAP-IFRS'!I64,IF('Broker Actual'!I64="-",'GAAP-IFRS'!I64,'Broker Actual'!I64))</f>
        <v>3452.4</v>
      </c>
      <c r="G277" s="140">
        <f>CHOOSE(IF($B$1=2,2,1),'GAAP-IFRS'!J64,IF('Broker Actual'!J64="-",'GAAP-IFRS'!J64,'Broker Actual'!J64))</f>
        <v>3255</v>
      </c>
      <c r="H277" s="140">
        <f>CHOOSE(IF($B$1=2,2,1),'GAAP-IFRS'!K64,IF('Broker Actual'!K64="-",'GAAP-IFRS'!K64,'Broker Actual'!K64))</f>
        <v>4112.3999999999996</v>
      </c>
      <c r="I277" s="140">
        <f>CHOOSE(IF($B$1=2,2,1),'GAAP-IFRS'!L64,IF('Broker Actual'!L64="-",'GAAP-IFRS'!L64,'Broker Actual'!L64))</f>
        <v>3719.7</v>
      </c>
      <c r="J277" s="140">
        <f>CHOOSE(IF($B$1=2,2,1),'GAAP-IFRS'!M64,IF('Broker Actual'!M64="-",'GAAP-IFRS'!M64,'Broker Actual'!M64))</f>
        <v>3280.2</v>
      </c>
      <c r="K277" s="140">
        <f>CHOOSE(IF($B$1=2,2,1),'GAAP-IFRS'!N64,IF('Broker Actual'!N64="-",'GAAP-IFRS'!N64,'Broker Actual'!N64))</f>
        <v>3533.5</v>
      </c>
      <c r="L277" s="140">
        <f>CHOOSE(IF($B$1=2,2,1),'GAAP-IFRS'!O64,IF('Broker Actual'!O64="-",'GAAP-IFRS'!O64,'Broker Actual'!O64))</f>
        <v>2537.9</v>
      </c>
      <c r="M277" s="139">
        <f>M278*M151</f>
        <v>3020.7512257962217</v>
      </c>
      <c r="N277" s="139">
        <f t="shared" ref="N277:Q277" si="143">N278*N151</f>
        <v>2993.8086755814256</v>
      </c>
      <c r="O277" s="139">
        <f t="shared" si="143"/>
        <v>3052.1180443369167</v>
      </c>
      <c r="P277" s="139">
        <f t="shared" si="143"/>
        <v>3141.6379910721971</v>
      </c>
      <c r="Q277" s="139">
        <f t="shared" si="143"/>
        <v>2992.9339005156939</v>
      </c>
      <c r="R277" s="117"/>
      <c r="S277" s="117"/>
      <c r="T277" s="117"/>
      <c r="U277" s="118"/>
      <c r="V277" s="119"/>
      <c r="W277" s="119"/>
      <c r="X277" s="117"/>
      <c r="Y277" s="117"/>
      <c r="Z277" s="117"/>
      <c r="AA277" s="117"/>
      <c r="AB277" s="117"/>
      <c r="AC277" s="120"/>
    </row>
    <row r="278" spans="1:29" outlineLevel="1" x14ac:dyDescent="0.15">
      <c r="A278" s="483" t="s">
        <v>591</v>
      </c>
      <c r="B278" s="140"/>
      <c r="C278" s="300">
        <f>C277/C151</f>
        <v>8.1420998509656561E-2</v>
      </c>
      <c r="D278" s="300">
        <f t="shared" ref="D278:L278" si="144">D277/D151</f>
        <v>4.8398566884519802E-2</v>
      </c>
      <c r="E278" s="300">
        <f t="shared" si="144"/>
        <v>7.6257853777309551E-2</v>
      </c>
      <c r="F278" s="300">
        <f t="shared" si="144"/>
        <v>6.7520814223884187E-2</v>
      </c>
      <c r="G278" s="300">
        <f t="shared" si="144"/>
        <v>6.1364150516552293E-2</v>
      </c>
      <c r="H278" s="300">
        <f t="shared" si="144"/>
        <v>8.1100268993208116E-2</v>
      </c>
      <c r="I278" s="300">
        <f t="shared" si="144"/>
        <v>6.6710426496935912E-2</v>
      </c>
      <c r="J278" s="300">
        <f t="shared" si="144"/>
        <v>6.226237816394127E-2</v>
      </c>
      <c r="K278" s="300">
        <f t="shared" si="144"/>
        <v>6.7756081940084714E-2</v>
      </c>
      <c r="L278" s="300">
        <f t="shared" si="144"/>
        <v>5.8059173276171695E-2</v>
      </c>
      <c r="M278" s="485">
        <f>AVERAGE(H278:L278)</f>
        <v>6.7177665774068335E-2</v>
      </c>
      <c r="N278" s="485">
        <f t="shared" ref="N278:P278" si="145">AVERAGE(I278:M278)</f>
        <v>6.4393145130240387E-2</v>
      </c>
      <c r="O278" s="485">
        <f t="shared" si="145"/>
        <v>6.3929688856901284E-2</v>
      </c>
      <c r="P278" s="485">
        <f t="shared" si="145"/>
        <v>6.426315099549329E-2</v>
      </c>
      <c r="Q278" s="485">
        <v>0.06</v>
      </c>
      <c r="R278" s="117"/>
      <c r="S278" s="117"/>
      <c r="T278" s="117"/>
      <c r="U278" s="118"/>
      <c r="V278" s="119"/>
      <c r="W278" s="119"/>
      <c r="X278" s="117"/>
      <c r="Y278" s="117"/>
      <c r="Z278" s="117"/>
      <c r="AA278" s="117"/>
      <c r="AB278" s="117"/>
      <c r="AC278" s="120"/>
    </row>
    <row r="279" spans="1:29" outlineLevel="1" x14ac:dyDescent="0.15">
      <c r="A279" s="186" t="s">
        <v>134</v>
      </c>
      <c r="B279" s="140"/>
      <c r="C279" s="140"/>
      <c r="D279" s="140"/>
      <c r="E279" s="140"/>
      <c r="F279" s="140"/>
      <c r="G279" s="140"/>
      <c r="H279" s="140"/>
      <c r="I279" s="140"/>
      <c r="J279" s="140"/>
      <c r="K279" s="140"/>
      <c r="L279" s="140"/>
      <c r="P279" s="117"/>
      <c r="Q279" s="117"/>
      <c r="R279" s="117"/>
      <c r="S279" s="117"/>
      <c r="T279" s="117"/>
      <c r="U279" s="118"/>
      <c r="V279" s="119" t="s">
        <v>78</v>
      </c>
      <c r="W279" s="119" t="s">
        <v>164</v>
      </c>
      <c r="X279" s="117" cm="1">
        <f t="array" ref="X279">_xll.FDSC("--",$A$1,""&amp;$V279&amp;"("&amp;$W279&amp;","&amp;D$2&amp;",ANNUAL_ROLL,+1,0,,,'CURRENCY="&amp;$E$1&amp;"')")</f>
        <v>193.21250000000001</v>
      </c>
      <c r="Y279" s="117" cm="1">
        <f t="array" ref="Y279">_xll.FDSC("--",$A$1,""&amp;$V279&amp;"("&amp;$W279&amp;","&amp;D$2&amp;",ANNUAL_ROLL,+2,0,,,'CURRENCY="&amp;$E$1&amp;"')")</f>
        <v>201.13300000000001</v>
      </c>
      <c r="Z279" s="117" t="str" cm="1">
        <f t="array" ref="Z279">_xll.FDSC("--",$A$1,""&amp;$V279&amp;"("&amp;$W279&amp;","&amp;D$2&amp;",ANNUAL_ROLL,+3,0,,,'CURRENCY="&amp;$E$1&amp;"')")</f>
        <v>--</v>
      </c>
      <c r="AA279" s="145"/>
      <c r="AB279" s="117"/>
      <c r="AC279" s="120"/>
    </row>
    <row r="280" spans="1:29" outlineLevel="1" x14ac:dyDescent="0.15">
      <c r="A280" s="184" t="s">
        <v>146</v>
      </c>
      <c r="B280" s="140">
        <f>CHOOSE(IF($B$1=2,2,1),'GAAP-IFRS'!E66,IF('Broker Actual'!E66="-",'GAAP-IFRS'!E66,'Broker Actual'!E66))</f>
        <v>-105.3</v>
      </c>
      <c r="C280" s="140">
        <f>CHOOSE(IF($B$1=2,2,1),'GAAP-IFRS'!F66,IF('Broker Actual'!F66="-",'GAAP-IFRS'!F66,'Broker Actual'!F66))</f>
        <v>0</v>
      </c>
      <c r="D280" s="140">
        <f>CHOOSE(IF($B$1=2,2,1),'GAAP-IFRS'!G66,IF('Broker Actual'!G66="-",'GAAP-IFRS'!G66,'Broker Actual'!G66))</f>
        <v>-3.7</v>
      </c>
      <c r="E280" s="140">
        <f>CHOOSE(IF($B$1=2,2,1),'GAAP-IFRS'!H66,IF('Broker Actual'!H66="-",'GAAP-IFRS'!H66,'Broker Actual'!H66))</f>
        <v>0</v>
      </c>
      <c r="F280" s="140">
        <f>CHOOSE(IF($B$1=2,2,1),'GAAP-IFRS'!I66,IF('Broker Actual'!I66="-",'GAAP-IFRS'!I66,'Broker Actual'!I66))</f>
        <v>-9.4</v>
      </c>
      <c r="G280" s="140">
        <f>CHOOSE(IF($B$1=2,2,1),'GAAP-IFRS'!J66,IF('Broker Actual'!J66="-",'GAAP-IFRS'!J66,'Broker Actual'!J66))</f>
        <v>-9.8000000000000007</v>
      </c>
      <c r="H280" s="140">
        <f>CHOOSE(IF($B$1=2,2,1),'GAAP-IFRS'!K66,IF('Broker Actual'!K66="-",'GAAP-IFRS'!K66,'Broker Actual'!K66))</f>
        <v>-268.10000000000002</v>
      </c>
      <c r="I280" s="140">
        <f>CHOOSE(IF($B$1=2,2,1),'GAAP-IFRS'!L66,IF('Broker Actual'!L66="-",'GAAP-IFRS'!L66,'Broker Actual'!L66))</f>
        <v>-103.8</v>
      </c>
      <c r="J280" s="140">
        <f>CHOOSE(IF($B$1=2,2,1),'GAAP-IFRS'!M66,IF('Broker Actual'!M66="-",'GAAP-IFRS'!M66,'Broker Actual'!M66))</f>
        <v>0</v>
      </c>
      <c r="K280" s="140">
        <f>CHOOSE(IF($B$1=2,2,1),'GAAP-IFRS'!N66,IF('Broker Actual'!N66="-",'GAAP-IFRS'!N66,'Broker Actual'!N66))</f>
        <v>-50.7</v>
      </c>
      <c r="L280" s="140">
        <f>CHOOSE(IF($B$1=2,2,1),'GAAP-IFRS'!O66,IF('Broker Actual'!O66="-",'GAAP-IFRS'!O66,'Broker Actual'!O66))</f>
        <v>-50.8</v>
      </c>
      <c r="M280" s="139">
        <v>0</v>
      </c>
      <c r="N280" s="139">
        <v>0</v>
      </c>
      <c r="O280" s="139">
        <v>0</v>
      </c>
      <c r="P280" s="139">
        <v>0</v>
      </c>
      <c r="Q280" s="139">
        <v>0</v>
      </c>
      <c r="R280" s="117"/>
      <c r="S280" s="117"/>
      <c r="T280" s="117"/>
      <c r="U280" s="118"/>
      <c r="AA280" s="117"/>
      <c r="AB280" s="117"/>
      <c r="AC280" s="120"/>
    </row>
    <row r="281" spans="1:29" s="108" customFormat="1" outlineLevel="1" x14ac:dyDescent="0.15">
      <c r="A281" s="184" t="s">
        <v>147</v>
      </c>
      <c r="B281" s="140">
        <f>CHOOSE(IF($B$1=2,2,1),'GAAP-IFRS'!E67,IF('Broker Actual'!E67="-",'GAAP-IFRS'!E67,'Broker Actual'!E67))</f>
        <v>0</v>
      </c>
      <c r="C281" s="140">
        <f>CHOOSE(IF($B$1=2,2,1),'GAAP-IFRS'!F67,IF('Broker Actual'!F67="-",'GAAP-IFRS'!F67,'Broker Actual'!F67))</f>
        <v>0.2</v>
      </c>
      <c r="D281" s="140">
        <f>CHOOSE(IF($B$1=2,2,1),'GAAP-IFRS'!G67,IF('Broker Actual'!G67="-",'GAAP-IFRS'!G67,'Broker Actual'!G67))</f>
        <v>0</v>
      </c>
      <c r="E281" s="140">
        <f>CHOOSE(IF($B$1=2,2,1),'GAAP-IFRS'!H67,IF('Broker Actual'!H67="-",'GAAP-IFRS'!H67,'Broker Actual'!H67))</f>
        <v>341.6</v>
      </c>
      <c r="F281" s="140">
        <f>CHOOSE(IF($B$1=2,2,1),'GAAP-IFRS'!I67,IF('Broker Actual'!I67="-",'GAAP-IFRS'!I67,'Broker Actual'!I67))</f>
        <v>0</v>
      </c>
      <c r="G281" s="140">
        <f>CHOOSE(IF($B$1=2,2,1),'GAAP-IFRS'!J67,IF('Broker Actual'!J67="-",'GAAP-IFRS'!J67,'Broker Actual'!J67))</f>
        <v>0</v>
      </c>
      <c r="H281" s="140">
        <f>CHOOSE(IF($B$1=2,2,1),'GAAP-IFRS'!K67,IF('Broker Actual'!K67="-",'GAAP-IFRS'!K67,'Broker Actual'!K67))</f>
        <v>0</v>
      </c>
      <c r="I281" s="140">
        <f>CHOOSE(IF($B$1=2,2,1),'GAAP-IFRS'!L67,IF('Broker Actual'!L67="-",'GAAP-IFRS'!L67,'Broker Actual'!L67))</f>
        <v>0</v>
      </c>
      <c r="J281" s="140">
        <f>CHOOSE(IF($B$1=2,2,1),'GAAP-IFRS'!M67,IF('Broker Actual'!M67="-",'GAAP-IFRS'!M67,'Broker Actual'!M67))</f>
        <v>314.5</v>
      </c>
      <c r="K281" s="140">
        <f>CHOOSE(IF($B$1=2,2,1),'GAAP-IFRS'!N67,IF('Broker Actual'!N67="-",'GAAP-IFRS'!N67,'Broker Actual'!N67))</f>
        <v>0</v>
      </c>
      <c r="L281" s="140">
        <f>CHOOSE(IF($B$1=2,2,1),'GAAP-IFRS'!O67,IF('Broker Actual'!O67="-",'GAAP-IFRS'!O67,'Broker Actual'!O67))</f>
        <v>0</v>
      </c>
      <c r="M281" s="139">
        <v>0</v>
      </c>
      <c r="N281" s="139">
        <v>0</v>
      </c>
      <c r="O281" s="139">
        <v>0</v>
      </c>
      <c r="P281" s="139">
        <v>0</v>
      </c>
      <c r="Q281" s="139">
        <v>0</v>
      </c>
      <c r="R281" s="145"/>
      <c r="S281" s="145"/>
      <c r="T281" s="145"/>
      <c r="U281" s="146"/>
      <c r="V281" s="77"/>
      <c r="W281" s="75"/>
      <c r="X281" s="75"/>
      <c r="Y281" s="75"/>
      <c r="Z281" s="75"/>
      <c r="AA281" s="117"/>
      <c r="AB281" s="145" cm="1">
        <f t="array" ref="AB281">_xll.FDSC("--",$A$1,"FF_OPER_CF(LTM_R,0,,,,"&amp;$E$1&amp;")@FF_OPER_CF(LTM_SEMI_R,0,,,,"&amp;$E$1&amp;")")</f>
        <v>1216.2</v>
      </c>
      <c r="AC281" s="158"/>
    </row>
    <row r="282" spans="1:29" s="108" customFormat="1" outlineLevel="1" x14ac:dyDescent="0.15">
      <c r="A282" s="108" t="s">
        <v>148</v>
      </c>
      <c r="B282" s="164">
        <f>CHOOSE(IF($B$1=2,2,1),'GAAP-IFRS'!E68,IF('Broker Actual'!E68="-",'GAAP-IFRS'!E68,'Broker Actual'!E68))</f>
        <v>-1113.4000000000001</v>
      </c>
      <c r="C282" s="164">
        <f>CHOOSE(IF($B$1=2,2,1),'GAAP-IFRS'!F68,IF('Broker Actual'!F68="-",'GAAP-IFRS'!F68,'Broker Actual'!F68))</f>
        <v>-39.9</v>
      </c>
      <c r="D282" s="164">
        <f>CHOOSE(IF($B$1=2,2,1),'GAAP-IFRS'!G68,IF('Broker Actual'!G68="-",'GAAP-IFRS'!G68,'Broker Actual'!G68))</f>
        <v>-886.6</v>
      </c>
      <c r="E282" s="164">
        <f>CHOOSE(IF($B$1=2,2,1),'GAAP-IFRS'!H68,IF('Broker Actual'!H68="-",'GAAP-IFRS'!H68,'Broker Actual'!H68))</f>
        <v>-713</v>
      </c>
      <c r="F282" s="164">
        <f>CHOOSE(IF($B$1=2,2,1),'GAAP-IFRS'!I68,IF('Broker Actual'!I68="-",'GAAP-IFRS'!I68,'Broker Actual'!I68))</f>
        <v>-710</v>
      </c>
      <c r="G282" s="164">
        <f>CHOOSE(IF($B$1=2,2,1),'GAAP-IFRS'!J68,IF('Broker Actual'!J68="-",'GAAP-IFRS'!J68,'Broker Actual'!J68))</f>
        <v>-499.3</v>
      </c>
      <c r="H282" s="164">
        <f>CHOOSE(IF($B$1=2,2,1),'GAAP-IFRS'!K68,IF('Broker Actual'!K68="-",'GAAP-IFRS'!K68,'Broker Actual'!K68))</f>
        <v>-930.1</v>
      </c>
      <c r="I282" s="164">
        <f>CHOOSE(IF($B$1=2,2,1),'GAAP-IFRS'!L68,IF('Broker Actual'!L68="-",'GAAP-IFRS'!L68,'Broker Actual'!L68))</f>
        <v>-1393.5</v>
      </c>
      <c r="J282" s="164">
        <f>CHOOSE(IF($B$1=2,2,1),'GAAP-IFRS'!M68,IF('Broker Actual'!M68="-",'GAAP-IFRS'!M68,'Broker Actual'!M68))</f>
        <v>-267.7</v>
      </c>
      <c r="K282" s="164">
        <f>CHOOSE(IF($B$1=2,2,1),'GAAP-IFRS'!N68,IF('Broker Actual'!N68="-",'GAAP-IFRS'!N68,'Broker Actual'!N68))</f>
        <v>-1340.6</v>
      </c>
      <c r="L282" s="164">
        <f>CHOOSE(IF($B$1=2,2,1),'GAAP-IFRS'!O68,IF('Broker Actual'!O68="-",'GAAP-IFRS'!O68,'Broker Actual'!O68))</f>
        <v>-955.9</v>
      </c>
      <c r="M282" s="139">
        <f>M281+M280+M277+M275+M270+M272+M273</f>
        <v>-821.47292332320569</v>
      </c>
      <c r="N282" s="139">
        <f t="shared" ref="N282:P282" si="146">N281+N280+N277+N275+N270+N272+N273</f>
        <v>-986.89439669688454</v>
      </c>
      <c r="O282" s="139">
        <f t="shared" si="146"/>
        <v>-978.44596456137401</v>
      </c>
      <c r="P282" s="139">
        <f t="shared" si="146"/>
        <v>-1047.818837818583</v>
      </c>
      <c r="Q282" s="139">
        <f>Q281+Q280+Q277+Q275+Q270+Q272+Q273</f>
        <v>-1277.9501808002128</v>
      </c>
      <c r="R282" s="145"/>
      <c r="S282" s="145"/>
      <c r="T282" s="145"/>
      <c r="U282" s="146"/>
      <c r="V282" s="77"/>
      <c r="W282" s="75"/>
      <c r="X282" s="75"/>
      <c r="Y282" s="75"/>
      <c r="Z282" s="75"/>
      <c r="AA282" s="117"/>
      <c r="AB282" s="145"/>
      <c r="AC282" s="158"/>
    </row>
    <row r="283" spans="1:29" s="108" customFormat="1" outlineLevel="1" x14ac:dyDescent="0.15">
      <c r="A283" s="128" t="s">
        <v>110</v>
      </c>
      <c r="B283" s="138">
        <f>B282/B49</f>
        <v>-0.10588280046408126</v>
      </c>
      <c r="C283" s="138">
        <f t="shared" ref="C283:Q283" si="147">C282/C$49</f>
        <v>-3.8536575943131993E-3</v>
      </c>
      <c r="D283" s="138">
        <f t="shared" si="147"/>
        <v>-8.4360162516532347E-2</v>
      </c>
      <c r="E283" s="138">
        <f t="shared" si="147"/>
        <v>-6.6441158107591811E-2</v>
      </c>
      <c r="F283" s="138">
        <f t="shared" si="147"/>
        <v>-6.4273751867107223E-2</v>
      </c>
      <c r="G283" s="138">
        <f t="shared" si="147"/>
        <v>-4.4237516390828228E-2</v>
      </c>
      <c r="H283" s="138">
        <f t="shared" si="147"/>
        <v>-8.0191404060869942E-2</v>
      </c>
      <c r="I283" s="138">
        <f t="shared" si="147"/>
        <v>-0.11613564576752869</v>
      </c>
      <c r="J283" s="138">
        <f t="shared" si="147"/>
        <v>-2.03386997515594E-2</v>
      </c>
      <c r="K283" s="138">
        <f t="shared" si="147"/>
        <v>-0.11158834007557974</v>
      </c>
      <c r="L283" s="138">
        <f t="shared" si="147"/>
        <v>-7.9718121924776911E-2</v>
      </c>
      <c r="M283" s="138">
        <f t="shared" si="147"/>
        <v>-6.6211432728345135E-2</v>
      </c>
      <c r="N283" s="138">
        <f t="shared" si="147"/>
        <v>-7.7947959618416204E-2</v>
      </c>
      <c r="O283" s="138">
        <f t="shared" si="147"/>
        <v>-7.6686076074086285E-2</v>
      </c>
      <c r="P283" s="138">
        <f t="shared" si="147"/>
        <v>-8.1169464854367504E-2</v>
      </c>
      <c r="Q283" s="138">
        <f t="shared" si="147"/>
        <v>-9.846197750196245E-2</v>
      </c>
      <c r="R283" s="145"/>
      <c r="S283" s="145"/>
      <c r="T283" s="145"/>
      <c r="U283" s="146"/>
      <c r="V283" s="77"/>
      <c r="W283" s="75"/>
      <c r="X283" s="75"/>
      <c r="Y283" s="75"/>
      <c r="Z283" s="75"/>
      <c r="AA283" s="117"/>
      <c r="AB283" s="145"/>
      <c r="AC283" s="158"/>
    </row>
    <row r="284" spans="1:29" s="108" customFormat="1" outlineLevel="1" x14ac:dyDescent="0.15">
      <c r="A284" s="78"/>
      <c r="B284" s="140"/>
      <c r="C284" s="140"/>
      <c r="D284" s="140"/>
      <c r="E284" s="140"/>
      <c r="F284" s="140"/>
      <c r="G284" s="140"/>
      <c r="H284" s="140"/>
      <c r="I284" s="140"/>
      <c r="J284" s="140"/>
      <c r="K284" s="140"/>
      <c r="L284" s="140"/>
      <c r="M284" s="75"/>
      <c r="N284" s="75"/>
      <c r="O284" s="75"/>
      <c r="P284" s="145"/>
      <c r="Q284" s="145"/>
      <c r="R284" s="145"/>
      <c r="S284" s="145"/>
      <c r="T284" s="145"/>
      <c r="U284" s="146"/>
      <c r="V284" s="77"/>
      <c r="W284" s="75"/>
      <c r="X284" s="75"/>
      <c r="Y284" s="75"/>
      <c r="Z284" s="75"/>
      <c r="AA284" s="117"/>
      <c r="AB284" s="145"/>
      <c r="AC284" s="158"/>
    </row>
    <row r="285" spans="1:29" outlineLevel="1" x14ac:dyDescent="0.15">
      <c r="A285" s="78" t="s">
        <v>150</v>
      </c>
      <c r="B285" s="142">
        <f t="shared" ref="B285:P285" si="148">B265+B282</f>
        <v>266.19999999999982</v>
      </c>
      <c r="C285" s="142">
        <f t="shared" si="148"/>
        <v>991.6</v>
      </c>
      <c r="D285" s="142">
        <f t="shared" si="148"/>
        <v>336.99999999999989</v>
      </c>
      <c r="E285" s="142">
        <f t="shared" si="148"/>
        <v>579.09999999999991</v>
      </c>
      <c r="F285" s="142">
        <f t="shared" si="148"/>
        <v>406.09999999999991</v>
      </c>
      <c r="G285" s="142">
        <f t="shared" si="148"/>
        <v>664.8</v>
      </c>
      <c r="H285" s="142">
        <f t="shared" si="148"/>
        <v>606.4</v>
      </c>
      <c r="I285" s="142">
        <f t="shared" si="148"/>
        <v>348.09999999999991</v>
      </c>
      <c r="J285" s="142">
        <f t="shared" si="148"/>
        <v>329.8</v>
      </c>
      <c r="K285" s="142">
        <f t="shared" si="148"/>
        <v>46.900000000000091</v>
      </c>
      <c r="L285" s="142">
        <f t="shared" si="148"/>
        <v>462.80000000000007</v>
      </c>
      <c r="M285" s="142">
        <f t="shared" si="148"/>
        <v>857.75085588174113</v>
      </c>
      <c r="N285" s="142">
        <f t="shared" si="148"/>
        <v>795.8591494053735</v>
      </c>
      <c r="O285" s="142">
        <f t="shared" si="148"/>
        <v>750.70760259063491</v>
      </c>
      <c r="P285" s="142">
        <f t="shared" si="148"/>
        <v>350.90264881249777</v>
      </c>
      <c r="Q285" s="142">
        <f>Q265+Q282</f>
        <v>-10.366540674101316</v>
      </c>
      <c r="R285" s="117"/>
      <c r="S285" s="117"/>
      <c r="T285" s="117"/>
      <c r="U285" s="194"/>
      <c r="AA285" s="117"/>
      <c r="AB285" s="117"/>
      <c r="AC285" s="120"/>
    </row>
    <row r="286" spans="1:29" outlineLevel="1" x14ac:dyDescent="0.15">
      <c r="A286" s="78" t="s">
        <v>151</v>
      </c>
      <c r="B286" s="142">
        <f t="shared" ref="B286:L286" si="149">B285+B291</f>
        <v>132.39999999999981</v>
      </c>
      <c r="C286" s="142">
        <f t="shared" si="149"/>
        <v>845.1</v>
      </c>
      <c r="D286" s="142">
        <f t="shared" si="149"/>
        <v>177.59999999999988</v>
      </c>
      <c r="E286" s="142">
        <f t="shared" si="149"/>
        <v>404.89999999999992</v>
      </c>
      <c r="F286" s="142">
        <f t="shared" si="149"/>
        <v>223.49999999999991</v>
      </c>
      <c r="G286" s="142">
        <f t="shared" si="149"/>
        <v>468.79999999999995</v>
      </c>
      <c r="H286" s="142">
        <f t="shared" si="149"/>
        <v>390.79999999999995</v>
      </c>
      <c r="I286" s="142">
        <f t="shared" si="149"/>
        <v>118.89999999999992</v>
      </c>
      <c r="J286" s="142">
        <f t="shared" si="149"/>
        <v>97.9</v>
      </c>
      <c r="K286" s="142">
        <f t="shared" si="149"/>
        <v>-192.49999999999991</v>
      </c>
      <c r="L286" s="142">
        <f t="shared" si="149"/>
        <v>208.60000000000008</v>
      </c>
      <c r="M286" s="142">
        <f>M285+M291</f>
        <v>548.474973689433</v>
      </c>
      <c r="N286" s="142">
        <f t="shared" ref="N286:O286" si="150">N285+N291</f>
        <v>542.70630769917739</v>
      </c>
      <c r="O286" s="142">
        <f t="shared" si="150"/>
        <v>518.60012550097531</v>
      </c>
      <c r="P286" s="142">
        <f>P285+P291</f>
        <v>149.22297492902968</v>
      </c>
      <c r="Q286" s="142">
        <f>Q285+Q291</f>
        <v>-194.21792518144721</v>
      </c>
      <c r="R286" s="117"/>
      <c r="S286" s="117"/>
      <c r="T286" s="117"/>
      <c r="U286" s="118"/>
      <c r="AA286" s="117"/>
      <c r="AB286" s="117" cm="1">
        <f t="array" ref="AB286">_xll.FDSC("--",$A$1,"FF_CAPEX_FIX(LTM_R,0,,,,"&amp;$E$1&amp;")@FF_CAPEX_FIX(LTM_SEMI_R,0,,,,"&amp;$E$1&amp;")")</f>
        <v>120.5</v>
      </c>
      <c r="AC286" s="120"/>
    </row>
    <row r="287" spans="1:29" outlineLevel="1" x14ac:dyDescent="0.15">
      <c r="A287" s="78" t="s">
        <v>152</v>
      </c>
      <c r="B287" s="117"/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369">
        <v>0.3</v>
      </c>
      <c r="N287" s="369">
        <v>0.3</v>
      </c>
      <c r="O287" s="369">
        <v>0.3</v>
      </c>
      <c r="P287" s="369">
        <v>0.3</v>
      </c>
      <c r="Q287" s="369">
        <v>0.3</v>
      </c>
      <c r="R287" s="117"/>
      <c r="S287" s="117"/>
      <c r="T287" s="117"/>
      <c r="U287" s="118"/>
      <c r="AB287" s="117"/>
      <c r="AC287" s="120"/>
    </row>
    <row r="288" spans="1:29" outlineLevel="1" x14ac:dyDescent="0.15">
      <c r="A288" s="78" t="s">
        <v>153</v>
      </c>
      <c r="B288" s="117"/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  <c r="M288" s="484">
        <f>1-M287</f>
        <v>0.7</v>
      </c>
      <c r="N288" s="484">
        <f t="shared" ref="N288:Q288" si="151">1-N287</f>
        <v>0.7</v>
      </c>
      <c r="O288" s="484">
        <f t="shared" si="151"/>
        <v>0.7</v>
      </c>
      <c r="P288" s="484">
        <f t="shared" si="151"/>
        <v>0.7</v>
      </c>
      <c r="Q288" s="484">
        <f t="shared" si="151"/>
        <v>0.7</v>
      </c>
      <c r="R288" s="117"/>
      <c r="S288" s="117"/>
      <c r="T288" s="117"/>
      <c r="U288" s="118"/>
      <c r="AB288" s="117"/>
      <c r="AC288" s="120"/>
    </row>
    <row r="289" spans="1:29" outlineLevel="1" x14ac:dyDescent="0.15">
      <c r="B289" s="117"/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P289" s="117"/>
      <c r="Q289" s="117"/>
      <c r="R289" s="117"/>
      <c r="S289" s="117"/>
      <c r="T289" s="117"/>
      <c r="U289" s="118"/>
      <c r="AB289" s="117"/>
      <c r="AC289" s="120"/>
    </row>
    <row r="290" spans="1:29" outlineLevel="1" x14ac:dyDescent="0.15">
      <c r="A290" s="108" t="s">
        <v>154</v>
      </c>
      <c r="B290" s="117"/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P290" s="117"/>
      <c r="Q290" s="117"/>
      <c r="R290" s="117"/>
      <c r="S290" s="117"/>
      <c r="T290" s="117"/>
      <c r="U290" s="118"/>
      <c r="AB290" s="117"/>
      <c r="AC290" s="120"/>
    </row>
    <row r="291" spans="1:29" outlineLevel="1" x14ac:dyDescent="0.15">
      <c r="A291" s="78" t="s">
        <v>155</v>
      </c>
      <c r="B291" s="140">
        <f>CHOOSE(IF($B$1=2,2,1),'GAAP-IFRS'!E71,IF('Broker Actual'!E71="-",'GAAP-IFRS'!E71,'Broker Actual'!E71))</f>
        <v>-133.80000000000001</v>
      </c>
      <c r="C291" s="140">
        <f>CHOOSE(IF($B$1=2,2,1),'GAAP-IFRS'!F71,IF('Broker Actual'!F71="-",'GAAP-IFRS'!F71,'Broker Actual'!F71))</f>
        <v>-146.5</v>
      </c>
      <c r="D291" s="140">
        <f>CHOOSE(IF($B$1=2,2,1),'GAAP-IFRS'!G71,IF('Broker Actual'!G71="-",'GAAP-IFRS'!G71,'Broker Actual'!G71))</f>
        <v>-159.4</v>
      </c>
      <c r="E291" s="140">
        <f>CHOOSE(IF($B$1=2,2,1),'GAAP-IFRS'!H71,IF('Broker Actual'!H71="-",'GAAP-IFRS'!H71,'Broker Actual'!H71))</f>
        <v>-174.2</v>
      </c>
      <c r="F291" s="140">
        <f>CHOOSE(IF($B$1=2,2,1),'GAAP-IFRS'!I71,IF('Broker Actual'!I71="-",'GAAP-IFRS'!I71,'Broker Actual'!I71))</f>
        <v>-182.6</v>
      </c>
      <c r="G291" s="140">
        <f>CHOOSE(IF($B$1=2,2,1),'GAAP-IFRS'!J71,IF('Broker Actual'!J71="-",'GAAP-IFRS'!J71,'Broker Actual'!J71))</f>
        <v>-196</v>
      </c>
      <c r="H291" s="140">
        <f>CHOOSE(IF($B$1=2,2,1),'GAAP-IFRS'!K71,IF('Broker Actual'!K71="-",'GAAP-IFRS'!K71,'Broker Actual'!K71))</f>
        <v>-215.6</v>
      </c>
      <c r="I291" s="140">
        <f>CHOOSE(IF($B$1=2,2,1),'GAAP-IFRS'!L71,IF('Broker Actual'!L71="-",'GAAP-IFRS'!L71,'Broker Actual'!L71))</f>
        <v>-229.2</v>
      </c>
      <c r="J291" s="140">
        <f>CHOOSE(IF($B$1=2,2,1),'GAAP-IFRS'!M71,IF('Broker Actual'!M71="-",'GAAP-IFRS'!M71,'Broker Actual'!M71))</f>
        <v>-231.9</v>
      </c>
      <c r="K291" s="140">
        <f>CHOOSE(IF($B$1=2,2,1),'GAAP-IFRS'!N71,IF('Broker Actual'!N71="-",'GAAP-IFRS'!N71,'Broker Actual'!N71))</f>
        <v>-239.4</v>
      </c>
      <c r="L291" s="140">
        <f>CHOOSE(IF($B$1=2,2,1),'GAAP-IFRS'!O71,IF('Broker Actual'!O71="-",'GAAP-IFRS'!O71,'Broker Actual'!O71))</f>
        <v>-254.2</v>
      </c>
      <c r="M291" s="139">
        <f>M292*M115</f>
        <v>-309.27588219230813</v>
      </c>
      <c r="N291" s="139">
        <f>N292*N115</f>
        <v>-253.15284170619617</v>
      </c>
      <c r="O291" s="139">
        <f>O292*O115</f>
        <v>-232.10747708965954</v>
      </c>
      <c r="P291" s="139">
        <f>P292*P115</f>
        <v>-201.6796738834681</v>
      </c>
      <c r="Q291" s="139">
        <f>Q292*Q115</f>
        <v>-183.8513845073459</v>
      </c>
      <c r="R291" s="117"/>
      <c r="S291" s="117"/>
      <c r="T291" s="117"/>
      <c r="U291" s="118"/>
      <c r="AB291" s="117"/>
      <c r="AC291" s="120"/>
    </row>
    <row r="292" spans="1:29" outlineLevel="1" x14ac:dyDescent="0.15">
      <c r="A292" s="78" t="s">
        <v>523</v>
      </c>
      <c r="B292" s="138">
        <f t="shared" ref="B292:L292" si="152">B291/B115</f>
        <v>-0.14959749552772811</v>
      </c>
      <c r="C292" s="138">
        <f t="shared" si="152"/>
        <v>-0.17072602260808764</v>
      </c>
      <c r="D292" s="138">
        <f t="shared" si="152"/>
        <v>-0.38558297048863088</v>
      </c>
      <c r="E292" s="138">
        <f t="shared" si="152"/>
        <v>-0.20089955022488754</v>
      </c>
      <c r="F292" s="138">
        <f t="shared" si="152"/>
        <v>-0.19604895855701096</v>
      </c>
      <c r="G292" s="138">
        <f t="shared" si="152"/>
        <v>-0.19714343190504927</v>
      </c>
      <c r="H292" s="138">
        <f t="shared" si="152"/>
        <v>-0.41192204814673289</v>
      </c>
      <c r="I292" s="138">
        <f t="shared" si="152"/>
        <v>-0.20830682541125148</v>
      </c>
      <c r="J292" s="138">
        <f t="shared" si="152"/>
        <v>-0.2306544658842252</v>
      </c>
      <c r="K292" s="138">
        <f t="shared" si="152"/>
        <v>-0.26877736611653757</v>
      </c>
      <c r="L292" s="138">
        <f t="shared" si="152"/>
        <v>-0.20266283983098143</v>
      </c>
      <c r="M292" s="486">
        <f>L292</f>
        <v>-0.20266283983098143</v>
      </c>
      <c r="N292" s="486">
        <f t="shared" ref="N292:Q292" si="153">M292</f>
        <v>-0.20266283983098143</v>
      </c>
      <c r="O292" s="486">
        <f t="shared" si="153"/>
        <v>-0.20266283983098143</v>
      </c>
      <c r="P292" s="486">
        <f t="shared" si="153"/>
        <v>-0.20266283983098143</v>
      </c>
      <c r="Q292" s="486">
        <f t="shared" si="153"/>
        <v>-0.20266283983098143</v>
      </c>
      <c r="R292" s="117"/>
      <c r="S292" s="117"/>
      <c r="T292" s="117"/>
      <c r="U292" s="118"/>
      <c r="AB292" s="117"/>
      <c r="AC292" s="120"/>
    </row>
    <row r="293" spans="1:29" outlineLevel="1" x14ac:dyDescent="0.15">
      <c r="A293" s="78" t="s">
        <v>156</v>
      </c>
      <c r="B293" s="140">
        <f>CHOOSE(IF($B$1=2,2,1),'GAAP-IFRS'!E72,IF('Broker Actual'!E72="-",'GAAP-IFRS'!E72,'Broker Actual'!E72))</f>
        <v>319.89999999999998</v>
      </c>
      <c r="C293" s="140">
        <f>CHOOSE(IF($B$1=2,2,1),'GAAP-IFRS'!F72,IF('Broker Actual'!F72="-",'GAAP-IFRS'!F72,'Broker Actual'!F72))</f>
        <v>-495.5</v>
      </c>
      <c r="D293" s="140">
        <f>CHOOSE(IF($B$1=2,2,1),'GAAP-IFRS'!G72,IF('Broker Actual'!G72="-",'GAAP-IFRS'!G72,'Broker Actual'!G72))</f>
        <v>160.6</v>
      </c>
      <c r="E293" s="140">
        <f>CHOOSE(IF($B$1=2,2,1),'GAAP-IFRS'!H72,IF('Broker Actual'!H72="-",'GAAP-IFRS'!H72,'Broker Actual'!H72))</f>
        <v>45.1</v>
      </c>
      <c r="F293" s="140">
        <f>CHOOSE(IF($B$1=2,2,1),'GAAP-IFRS'!I72,IF('Broker Actual'!I72="-",'GAAP-IFRS'!I72,'Broker Actual'!I72))</f>
        <v>195.1</v>
      </c>
      <c r="G293" s="140">
        <f>CHOOSE(IF($B$1=2,2,1),'GAAP-IFRS'!J72,IF('Broker Actual'!J72="-",'GAAP-IFRS'!J72,'Broker Actual'!J72))</f>
        <v>-63.5</v>
      </c>
      <c r="H293" s="140">
        <f>CHOOSE(IF($B$1=2,2,1),'GAAP-IFRS'!K72,IF('Broker Actual'!K72="-",'GAAP-IFRS'!K72,'Broker Actual'!K72))</f>
        <v>30.7</v>
      </c>
      <c r="I293" s="140">
        <f>CHOOSE(IF($B$1=2,2,1),'GAAP-IFRS'!L72,IF('Broker Actual'!L72="-",'GAAP-IFRS'!L72,'Broker Actual'!L72))</f>
        <v>348.8</v>
      </c>
      <c r="J293" s="140">
        <f>CHOOSE(IF($B$1=2,2,1),'GAAP-IFRS'!M72,IF('Broker Actual'!M72="-",'GAAP-IFRS'!M72,'Broker Actual'!M72))</f>
        <v>14.1</v>
      </c>
      <c r="K293" s="140">
        <f>CHOOSE(IF($B$1=2,2,1),'GAAP-IFRS'!N72,IF('Broker Actual'!N72="-",'GAAP-IFRS'!N72,'Broker Actual'!N72))</f>
        <v>88.1</v>
      </c>
      <c r="L293" s="140">
        <f>CHOOSE(IF($B$1=2,2,1),'GAAP-IFRS'!O72,IF('Broker Actual'!O72="-",'GAAP-IFRS'!O72,'Broker Actual'!O72))</f>
        <v>-14.8</v>
      </c>
      <c r="M293" s="139">
        <f>-M287*M286</f>
        <v>-164.54249210682988</v>
      </c>
      <c r="N293" s="139">
        <f t="shared" ref="N293:Q293" si="154">-N287*N286</f>
        <v>-162.8118923097532</v>
      </c>
      <c r="O293" s="139">
        <f t="shared" si="154"/>
        <v>-155.58003765029258</v>
      </c>
      <c r="P293" s="139">
        <f t="shared" si="154"/>
        <v>-44.766892478708904</v>
      </c>
      <c r="Q293" s="139">
        <f t="shared" si="154"/>
        <v>58.26537755443416</v>
      </c>
      <c r="R293" s="117"/>
      <c r="S293" s="117"/>
      <c r="T293" s="117"/>
      <c r="U293" s="118"/>
      <c r="AB293" s="117"/>
      <c r="AC293" s="120"/>
    </row>
    <row r="294" spans="1:29" outlineLevel="1" x14ac:dyDescent="0.15">
      <c r="A294" s="78" t="s">
        <v>157</v>
      </c>
      <c r="B294" s="140">
        <f>CHOOSE(IF($B$1=2,2,1),'GAAP-IFRS'!E73,IF('Broker Actual'!E73="-",'GAAP-IFRS'!E73,'Broker Actual'!E73))</f>
        <v>-491.8</v>
      </c>
      <c r="C294" s="140">
        <f>CHOOSE(IF($B$1=2,2,1),'GAAP-IFRS'!F73,IF('Broker Actual'!F73="-",'GAAP-IFRS'!F73,'Broker Actual'!F73))</f>
        <v>-305.8</v>
      </c>
      <c r="D294" s="140">
        <f>CHOOSE(IF($B$1=2,2,1),'GAAP-IFRS'!G73,IF('Broker Actual'!G73="-",'GAAP-IFRS'!G73,'Broker Actual'!G73))</f>
        <v>-293.7</v>
      </c>
      <c r="E294" s="140">
        <f>CHOOSE(IF($B$1=2,2,1),'GAAP-IFRS'!H73,IF('Broker Actual'!H73="-",'GAAP-IFRS'!H73,'Broker Actual'!H73))</f>
        <v>-411.5</v>
      </c>
      <c r="F294" s="140">
        <f>CHOOSE(IF($B$1=2,2,1),'GAAP-IFRS'!I73,IF('Broker Actual'!I73="-",'GAAP-IFRS'!I73,'Broker Actual'!I73))</f>
        <v>-396.7</v>
      </c>
      <c r="G294" s="140">
        <f>CHOOSE(IF($B$1=2,2,1),'GAAP-IFRS'!J73,IF('Broker Actual'!J73="-",'GAAP-IFRS'!J73,'Broker Actual'!J73))</f>
        <v>-391</v>
      </c>
      <c r="H294" s="140">
        <f>CHOOSE(IF($B$1=2,2,1),'GAAP-IFRS'!K73,IF('Broker Actual'!K73="-",'GAAP-IFRS'!K73,'Broker Actual'!K73))</f>
        <v>-351.6</v>
      </c>
      <c r="I294" s="140">
        <f>CHOOSE(IF($B$1=2,2,1),'GAAP-IFRS'!L73,IF('Broker Actual'!L73="-",'GAAP-IFRS'!L73,'Broker Actual'!L73))</f>
        <v>-394.2</v>
      </c>
      <c r="J294" s="140">
        <f>CHOOSE(IF($B$1=2,2,1),'GAAP-IFRS'!M73,IF('Broker Actual'!M73="-",'GAAP-IFRS'!M73,'Broker Actual'!M73))</f>
        <v>4.4000000000000004</v>
      </c>
      <c r="K294" s="140">
        <f>CHOOSE(IF($B$1=2,2,1),'GAAP-IFRS'!N73,IF('Broker Actual'!N73="-",'GAAP-IFRS'!N73,'Broker Actual'!N73))</f>
        <v>-46.6</v>
      </c>
      <c r="L294" s="140">
        <f>CHOOSE(IF($B$1=2,2,1),'GAAP-IFRS'!O73,IF('Broker Actual'!O73="-",'GAAP-IFRS'!O73,'Broker Actual'!O73))</f>
        <v>-196.1</v>
      </c>
      <c r="M294" s="139">
        <f>-M286*M288</f>
        <v>-383.93248158260309</v>
      </c>
      <c r="N294" s="139">
        <f>-N286*N288</f>
        <v>-379.89441538942413</v>
      </c>
      <c r="O294" s="139">
        <f t="shared" ref="O294:P294" si="155">-O286*O288</f>
        <v>-363.02008785068267</v>
      </c>
      <c r="P294" s="139">
        <f t="shared" si="155"/>
        <v>-104.45608245032076</v>
      </c>
      <c r="Q294" s="139">
        <f>-Q286*Q288</f>
        <v>135.95254762701305</v>
      </c>
      <c r="R294" s="117"/>
      <c r="S294" s="117"/>
      <c r="T294" s="117"/>
      <c r="U294" s="118"/>
      <c r="AB294" s="117"/>
      <c r="AC294" s="120"/>
    </row>
    <row r="295" spans="1:29" outlineLevel="1" x14ac:dyDescent="0.15">
      <c r="A295" s="78" t="s">
        <v>134</v>
      </c>
      <c r="B295" s="140">
        <f>CHOOSE(IF($B$1=2,2,1),'GAAP-IFRS'!E74,IF('Broker Actual'!E74="-",'GAAP-IFRS'!E74,'Broker Actual'!E74))</f>
        <v>0.2</v>
      </c>
      <c r="C295" s="140">
        <f>CHOOSE(IF($B$1=2,2,1),'GAAP-IFRS'!F74,IF('Broker Actual'!F74="-",'GAAP-IFRS'!F74,'Broker Actual'!F74))</f>
        <v>-27</v>
      </c>
      <c r="D295" s="140">
        <f>CHOOSE(IF($B$1=2,2,1),'GAAP-IFRS'!G74,IF('Broker Actual'!G74="-",'GAAP-IFRS'!G74,'Broker Actual'!G74))</f>
        <v>-36.1</v>
      </c>
      <c r="E295" s="140">
        <f>CHOOSE(IF($B$1=2,2,1),'GAAP-IFRS'!H74,IF('Broker Actual'!H74="-",'GAAP-IFRS'!H74,'Broker Actual'!H74))</f>
        <v>-28.1</v>
      </c>
      <c r="F295" s="140">
        <f>CHOOSE(IF($B$1=2,2,1),'GAAP-IFRS'!I74,IF('Broker Actual'!I74="-",'GAAP-IFRS'!I74,'Broker Actual'!I74))</f>
        <v>-34.4</v>
      </c>
      <c r="G295" s="140">
        <f>CHOOSE(IF($B$1=2,2,1),'GAAP-IFRS'!J74,IF('Broker Actual'!J74="-",'GAAP-IFRS'!J74,'Broker Actual'!J74))</f>
        <v>-37.299999999999997</v>
      </c>
      <c r="H295" s="140">
        <f>CHOOSE(IF($B$1=2,2,1),'GAAP-IFRS'!K74,IF('Broker Actual'!K74="-",'GAAP-IFRS'!K74,'Broker Actual'!K74))</f>
        <v>-53.3</v>
      </c>
      <c r="I295" s="140">
        <f>CHOOSE(IF($B$1=2,2,1),'GAAP-IFRS'!L74,IF('Broker Actual'!L74="-",'GAAP-IFRS'!L74,'Broker Actual'!L74))</f>
        <v>-83.4</v>
      </c>
      <c r="J295" s="140">
        <f>CHOOSE(IF($B$1=2,2,1),'GAAP-IFRS'!M74,IF('Broker Actual'!M74="-",'GAAP-IFRS'!M74,'Broker Actual'!M74))</f>
        <v>-3.5</v>
      </c>
      <c r="K295" s="140">
        <f>CHOOSE(IF($B$1=2,2,1),'GAAP-IFRS'!N74,IF('Broker Actual'!N74="-",'GAAP-IFRS'!N74,'Broker Actual'!N74))</f>
        <v>29</v>
      </c>
      <c r="L295" s="140">
        <f>CHOOSE(IF($B$1=2,2,1),'GAAP-IFRS'!O74,IF('Broker Actual'!O74="-",'GAAP-IFRS'!O74,'Broker Actual'!O74))</f>
        <v>46.5</v>
      </c>
      <c r="M295" s="434">
        <f>AVERAGE(H295:L295)</f>
        <v>-12.939999999999998</v>
      </c>
      <c r="N295" s="434">
        <f t="shared" ref="N295:Q295" si="156">AVERAGE(I295:M295)</f>
        <v>-4.8680000000000003</v>
      </c>
      <c r="O295" s="434">
        <f t="shared" si="156"/>
        <v>10.8384</v>
      </c>
      <c r="P295" s="434">
        <f t="shared" si="156"/>
        <v>13.70608</v>
      </c>
      <c r="Q295" s="434">
        <f t="shared" si="156"/>
        <v>10.647296000000001</v>
      </c>
      <c r="R295" s="117"/>
      <c r="S295" s="117"/>
      <c r="T295" s="117"/>
      <c r="U295" s="118"/>
      <c r="AB295" s="117"/>
      <c r="AC295" s="120"/>
    </row>
    <row r="296" spans="1:29" s="108" customFormat="1" outlineLevel="1" x14ac:dyDescent="0.15">
      <c r="A296" s="108" t="s">
        <v>158</v>
      </c>
      <c r="B296" s="164">
        <f>CHOOSE(IF($B$1=2,2,1),'GAAP-IFRS'!E75,IF('Broker Actual'!E75="-",'GAAP-IFRS'!E75,'Broker Actual'!E75))</f>
        <v>-305.5</v>
      </c>
      <c r="C296" s="164">
        <f>CHOOSE(IF($B$1=2,2,1),'GAAP-IFRS'!F75,IF('Broker Actual'!F75="-",'GAAP-IFRS'!F75,'Broker Actual'!F75))</f>
        <v>-974.8</v>
      </c>
      <c r="D296" s="164">
        <f>CHOOSE(IF($B$1=2,2,1),'GAAP-IFRS'!G75,IF('Broker Actual'!G75="-",'GAAP-IFRS'!G75,'Broker Actual'!G75))</f>
        <v>-328.6</v>
      </c>
      <c r="E296" s="164">
        <f>CHOOSE(IF($B$1=2,2,1),'GAAP-IFRS'!H75,IF('Broker Actual'!H75="-",'GAAP-IFRS'!H75,'Broker Actual'!H75))</f>
        <v>-704.5</v>
      </c>
      <c r="F296" s="164">
        <f>CHOOSE(IF($B$1=2,2,1),'GAAP-IFRS'!I75,IF('Broker Actual'!I75="-",'GAAP-IFRS'!I75,'Broker Actual'!I75))</f>
        <v>-418.6</v>
      </c>
      <c r="G296" s="164">
        <f>CHOOSE(IF($B$1=2,2,1),'GAAP-IFRS'!J75,IF('Broker Actual'!J75="-",'GAAP-IFRS'!J75,'Broker Actual'!J75))</f>
        <v>-687.8</v>
      </c>
      <c r="H296" s="164">
        <f>CHOOSE(IF($B$1=2,2,1),'GAAP-IFRS'!K75,IF('Broker Actual'!K75="-",'GAAP-IFRS'!K75,'Broker Actual'!K75))</f>
        <v>-589.79999999999995</v>
      </c>
      <c r="I296" s="164">
        <f>CHOOSE(IF($B$1=2,2,1),'GAAP-IFRS'!L75,IF('Broker Actual'!L75="-",'GAAP-IFRS'!L75,'Broker Actual'!L75))</f>
        <v>-358</v>
      </c>
      <c r="J296" s="164">
        <f>CHOOSE(IF($B$1=2,2,1),'GAAP-IFRS'!M75,IF('Broker Actual'!M75="-",'GAAP-IFRS'!M75,'Broker Actual'!M75))</f>
        <v>-216.9</v>
      </c>
      <c r="K296" s="164">
        <f>CHOOSE(IF($B$1=2,2,1),'GAAP-IFRS'!N75,IF('Broker Actual'!N75="-",'GAAP-IFRS'!N75,'Broker Actual'!N75))</f>
        <v>-168.9</v>
      </c>
      <c r="L296" s="164">
        <f>CHOOSE(IF($B$1=2,2,1),'GAAP-IFRS'!O75,IF('Broker Actual'!O75="-",'GAAP-IFRS'!O75,'Broker Actual'!O75))</f>
        <v>-418.6</v>
      </c>
      <c r="M296" s="139">
        <f>M295+M294+M293+M291</f>
        <v>-870.69085588174107</v>
      </c>
      <c r="N296" s="139">
        <f t="shared" ref="N296:Q296" si="157">N295+N294+N293+N291</f>
        <v>-800.72714940537344</v>
      </c>
      <c r="O296" s="139">
        <f t="shared" si="157"/>
        <v>-739.86920259063481</v>
      </c>
      <c r="P296" s="139">
        <f t="shared" si="157"/>
        <v>-337.19656881249773</v>
      </c>
      <c r="Q296" s="139">
        <f t="shared" si="157"/>
        <v>21.013836674101327</v>
      </c>
      <c r="R296" s="145"/>
      <c r="S296" s="145"/>
      <c r="T296" s="145"/>
      <c r="U296" s="146"/>
      <c r="V296" s="77"/>
      <c r="W296" s="75"/>
      <c r="X296" s="75"/>
      <c r="Y296" s="75"/>
      <c r="Z296" s="75"/>
      <c r="AA296" s="78"/>
      <c r="AB296" s="145" cm="1">
        <f t="array" ref="AB296">_xll.FDSC("--",$A$1,"FF_INVEST_CF(LTM_R,0,,,,"&amp;$E$1&amp;")@FF_INVEST_CF(LTM_SEMI_R,0,,,,"&amp;$E$1&amp;")")</f>
        <v>-763.3</v>
      </c>
      <c r="AC296" s="158"/>
    </row>
    <row r="297" spans="1:29" outlineLevel="1" x14ac:dyDescent="0.15">
      <c r="B297" s="117"/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P297" s="117"/>
      <c r="Q297" s="117"/>
      <c r="R297" s="117"/>
      <c r="S297" s="117"/>
      <c r="T297" s="117"/>
      <c r="U297" s="118"/>
      <c r="AB297" s="117"/>
      <c r="AC297" s="120"/>
    </row>
    <row r="298" spans="1:29" outlineLevel="1" x14ac:dyDescent="0.15">
      <c r="A298" s="108" t="s">
        <v>160</v>
      </c>
      <c r="B298" s="140"/>
      <c r="C298" s="140"/>
      <c r="D298" s="140"/>
      <c r="E298" s="140"/>
      <c r="F298" s="140"/>
      <c r="G298" s="140"/>
      <c r="H298" s="140"/>
      <c r="I298" s="140"/>
      <c r="J298" s="140"/>
      <c r="K298" s="140"/>
      <c r="L298" s="140"/>
      <c r="P298" s="117"/>
      <c r="Q298" s="117"/>
      <c r="R298" s="117"/>
      <c r="S298" s="117"/>
      <c r="T298" s="117"/>
      <c r="U298" s="194"/>
      <c r="AB298" s="117"/>
      <c r="AC298" s="120"/>
    </row>
    <row r="299" spans="1:29" outlineLevel="1" x14ac:dyDescent="0.15">
      <c r="A299" s="78" t="s">
        <v>161</v>
      </c>
      <c r="B299" s="140" t="str">
        <f>CHOOSE(IF($B$1=2,2,1),'GAAP-IFRS'!E78,IF('Broker Actual'!E78="-",'GAAP-IFRS'!E78,'Broker Actual'!E78))</f>
        <v/>
      </c>
      <c r="C299" s="140" t="str">
        <f>CHOOSE(IF($B$1=2,2,1),'GAAP-IFRS'!F78,IF('Broker Actual'!F78="-",'GAAP-IFRS'!F78,'Broker Actual'!F78))</f>
        <v/>
      </c>
      <c r="D299" s="140" t="str">
        <f>CHOOSE(IF($B$1=2,2,1),'GAAP-IFRS'!G78,IF('Broker Actual'!G78="-",'GAAP-IFRS'!G78,'Broker Actual'!G78))</f>
        <v/>
      </c>
      <c r="E299" s="140" t="str">
        <f>CHOOSE(IF($B$1=2,2,1),'GAAP-IFRS'!H78,IF('Broker Actual'!H78="-",'GAAP-IFRS'!H78,'Broker Actual'!H78))</f>
        <v/>
      </c>
      <c r="F299" s="140" t="str">
        <f>CHOOSE(IF($B$1=2,2,1),'GAAP-IFRS'!I78,IF('Broker Actual'!I78="-",'GAAP-IFRS'!I78,'Broker Actual'!I78))</f>
        <v/>
      </c>
      <c r="G299" s="140" t="str">
        <f>CHOOSE(IF($B$1=2,2,1),'GAAP-IFRS'!J78,IF('Broker Actual'!J78="-",'GAAP-IFRS'!J78,'Broker Actual'!J78))</f>
        <v/>
      </c>
      <c r="H299" s="140" t="str">
        <f>CHOOSE(IF($B$1=2,2,1),'GAAP-IFRS'!K78,IF('Broker Actual'!K78="-",'GAAP-IFRS'!K78,'Broker Actual'!K78))</f>
        <v/>
      </c>
      <c r="I299" s="140" t="str">
        <f>CHOOSE(IF($B$1=2,2,1),'GAAP-IFRS'!L78,IF('Broker Actual'!L78="-",'GAAP-IFRS'!L78,'Broker Actual'!L78))</f>
        <v/>
      </c>
      <c r="J299" s="140" t="str">
        <f>CHOOSE(IF($B$1=2,2,1),'GAAP-IFRS'!M78,IF('Broker Actual'!M78="-",'GAAP-IFRS'!M78,'Broker Actual'!M78))</f>
        <v/>
      </c>
      <c r="K299" s="140" t="str">
        <f>CHOOSE(IF($B$1=2,2,1),'GAAP-IFRS'!N78,IF('Broker Actual'!N78="-",'GAAP-IFRS'!N78,'Broker Actual'!N78))</f>
        <v/>
      </c>
      <c r="L299" s="140" t="str">
        <f>CHOOSE(IF($B$1=2,2,1),'GAAP-IFRS'!O78,IF('Broker Actual'!O78="-",'GAAP-IFRS'!O78,'Broker Actual'!O78))</f>
        <v/>
      </c>
      <c r="P299" s="117"/>
      <c r="Q299" s="117"/>
      <c r="R299" s="117"/>
      <c r="S299" s="117"/>
      <c r="T299" s="117"/>
      <c r="U299" s="118"/>
      <c r="AB299" s="117"/>
      <c r="AC299" s="120"/>
    </row>
    <row r="300" spans="1:29" outlineLevel="1" x14ac:dyDescent="0.15">
      <c r="A300" s="78" t="s">
        <v>162</v>
      </c>
      <c r="B300" s="140">
        <f>CHOOSE(IF($B$1=2,2,1),'GAAP-IFRS'!E79,IF('Broker Actual'!E79="-",'GAAP-IFRS'!E79,'Broker Actual'!E79))</f>
        <v>-39.299999999999997</v>
      </c>
      <c r="C300" s="140">
        <f>CHOOSE(IF($B$1=2,2,1),'GAAP-IFRS'!F79,IF('Broker Actual'!F79="-",'GAAP-IFRS'!F79,'Broker Actual'!F79))</f>
        <v>16.8</v>
      </c>
      <c r="D300" s="140">
        <f>CHOOSE(IF($B$1=2,2,1),'GAAP-IFRS'!G79,IF('Broker Actual'!G79="-",'GAAP-IFRS'!G79,'Broker Actual'!G79))</f>
        <v>8.4</v>
      </c>
      <c r="E300" s="140">
        <f>CHOOSE(IF($B$1=2,2,1),'GAAP-IFRS'!H79,IF('Broker Actual'!H79="-",'GAAP-IFRS'!H79,'Broker Actual'!H79))</f>
        <v>10.4</v>
      </c>
      <c r="F300" s="140">
        <f>CHOOSE(IF($B$1=2,2,1),'GAAP-IFRS'!I79,IF('Broker Actual'!I79="-",'GAAP-IFRS'!I79,'Broker Actual'!I79))</f>
        <v>-12.5</v>
      </c>
      <c r="G300" s="140">
        <f>CHOOSE(IF($B$1=2,2,1),'GAAP-IFRS'!J79,IF('Broker Actual'!J79="-",'GAAP-IFRS'!J79,'Broker Actual'!J79))</f>
        <v>-23</v>
      </c>
      <c r="H300" s="140">
        <f>CHOOSE(IF($B$1=2,2,1),'GAAP-IFRS'!K79,IF('Broker Actual'!K79="-",'GAAP-IFRS'!K79,'Broker Actual'!K79))</f>
        <v>16.600000000000001</v>
      </c>
      <c r="I300" s="140">
        <f>CHOOSE(IF($B$1=2,2,1),'GAAP-IFRS'!L79,IF('Broker Actual'!L79="-",'GAAP-IFRS'!L79,'Broker Actual'!L79))</f>
        <v>-9.9</v>
      </c>
      <c r="J300" s="140">
        <f>CHOOSE(IF($B$1=2,2,1),'GAAP-IFRS'!M79,IF('Broker Actual'!M79="-",'GAAP-IFRS'!M79,'Broker Actual'!M79))</f>
        <v>112.9</v>
      </c>
      <c r="K300" s="140">
        <f>CHOOSE(IF($B$1=2,2,1),'GAAP-IFRS'!N79,IF('Broker Actual'!N79="-",'GAAP-IFRS'!N79,'Broker Actual'!N79))</f>
        <v>-122</v>
      </c>
      <c r="L300" s="140">
        <f>CHOOSE(IF($B$1=2,2,1),'GAAP-IFRS'!O79,IF('Broker Actual'!O79="-",'GAAP-IFRS'!O79,'Broker Actual'!O79))</f>
        <v>44.2</v>
      </c>
      <c r="M300" s="434"/>
      <c r="N300" s="434"/>
      <c r="O300" s="434"/>
      <c r="P300" s="434"/>
      <c r="Q300" s="434"/>
      <c r="R300" s="117"/>
      <c r="S300" s="117"/>
      <c r="T300" s="117"/>
      <c r="U300" s="118"/>
      <c r="AB300" s="117"/>
      <c r="AC300" s="120"/>
    </row>
    <row r="301" spans="1:29" outlineLevel="1" x14ac:dyDescent="0.15">
      <c r="A301" s="78" t="s">
        <v>163</v>
      </c>
      <c r="B301" s="140">
        <f>CHOOSE(IF($B$1=2,2,1),'GAAP-IFRS'!E80,IF('Broker Actual'!E80="-",'GAAP-IFRS'!E80,'Broker Actual'!E80))</f>
        <v>1245.8</v>
      </c>
      <c r="C301" s="140">
        <f>CHOOSE(IF($B$1=2,2,1),'GAAP-IFRS'!F80,IF('Broker Actual'!F80="-",'GAAP-IFRS'!F80,'Broker Actual'!F80))</f>
        <v>779.5</v>
      </c>
      <c r="D301" s="140">
        <f>CHOOSE(IF($B$1=2,2,1),'GAAP-IFRS'!G80,IF('Broker Actual'!G80="-",'GAAP-IFRS'!G80,'Broker Actual'!G80))</f>
        <v>949.7</v>
      </c>
      <c r="E301" s="140">
        <f>CHOOSE(IF($B$1=2,2,1),'GAAP-IFRS'!H80,IF('Broker Actual'!H80="-",'GAAP-IFRS'!H80,'Broker Actual'!H80))</f>
        <v>1017.7</v>
      </c>
      <c r="F301" s="140">
        <f>CHOOSE(IF($B$1=2,2,1),'GAAP-IFRS'!I80,IF('Broker Actual'!I80="-",'GAAP-IFRS'!I80,'Broker Actual'!I80))</f>
        <v>848.5</v>
      </c>
      <c r="G301" s="140">
        <f>CHOOSE(IF($B$1=2,2,1),'GAAP-IFRS'!J80,IF('Broker Actual'!J80="-",'GAAP-IFRS'!J80,'Broker Actual'!J80))</f>
        <v>862.8</v>
      </c>
      <c r="H301" s="140">
        <f>CHOOSE(IF($B$1=2,2,1),'GAAP-IFRS'!K80,IF('Broker Actual'!K80="-",'GAAP-IFRS'!K80,'Broker Actual'!K80))</f>
        <v>1176.8</v>
      </c>
      <c r="I301" s="140">
        <f>CHOOSE(IF($B$1=2,2,1),'GAAP-IFRS'!L80,IF('Broker Actual'!L80="-",'GAAP-IFRS'!L80,'Broker Actual'!L80))</f>
        <v>1361.5</v>
      </c>
      <c r="J301" s="140">
        <f>CHOOSE(IF($B$1=2,2,1),'GAAP-IFRS'!M80,IF('Broker Actual'!M80="-",'GAAP-IFRS'!M80,'Broker Actual'!M80))</f>
        <v>246.5</v>
      </c>
      <c r="K301" s="140">
        <f>CHOOSE(IF($B$1=2,2,1),'GAAP-IFRS'!N80,IF('Broker Actual'!N80="-",'GAAP-IFRS'!N80,'Broker Actual'!N80))</f>
        <v>169.11019999999999</v>
      </c>
      <c r="L301" s="140">
        <f>CHOOSE(IF($B$1=2,2,1),'GAAP-IFRS'!O80,IF('Broker Actual'!O80="-",'GAAP-IFRS'!O80,'Broker Actual'!O80))</f>
        <v>178.64439999999999</v>
      </c>
      <c r="M301" s="139"/>
      <c r="N301" s="139"/>
      <c r="O301" s="139"/>
      <c r="P301" s="139"/>
      <c r="Q301" s="139"/>
      <c r="R301" s="117"/>
      <c r="S301" s="117"/>
      <c r="T301" s="117"/>
      <c r="U301" s="118"/>
      <c r="AB301" s="117"/>
      <c r="AC301" s="120"/>
    </row>
    <row r="302" spans="1:29" outlineLevel="1" x14ac:dyDescent="0.15">
      <c r="A302" s="78" t="s">
        <v>165</v>
      </c>
      <c r="B302" s="195">
        <f>CHOOSE(IF($B$1=2,2,1),'GAAP-IFRS'!E81,IF('Broker Actual'!E81="-",'GAAP-IFRS'!E81,'Broker Actual'!E81))</f>
        <v>4.4215436859021704</v>
      </c>
      <c r="C302" s="195">
        <f>CHOOSE(IF($B$1=2,2,1),'GAAP-IFRS'!F81,IF('Broker Actual'!F81="-",'GAAP-IFRS'!F81,'Broker Actual'!F81))</f>
        <v>2.9310108847855201</v>
      </c>
      <c r="D302" s="195">
        <f>CHOOSE(IF($B$1=2,2,1),'GAAP-IFRS'!G81,IF('Broker Actual'!G81="-",'GAAP-IFRS'!G81,'Broker Actual'!G81))</f>
        <v>3.7003297840506701</v>
      </c>
      <c r="E302" s="195">
        <f>CHOOSE(IF($B$1=2,2,1),'GAAP-IFRS'!H81,IF('Broker Actual'!H81="-",'GAAP-IFRS'!H81,'Broker Actual'!H81))</f>
        <v>4.1060347050106403</v>
      </c>
      <c r="F302" s="195">
        <f>CHOOSE(IF($B$1=2,2,1),'GAAP-IFRS'!I81,IF('Broker Actual'!I81="-",'GAAP-IFRS'!I81,'Broker Actual'!I81))</f>
        <v>3.59565588831558</v>
      </c>
      <c r="G302" s="195">
        <f>CHOOSE(IF($B$1=2,2,1),'GAAP-IFRS'!J81,IF('Broker Actual'!J81="-",'GAAP-IFRS'!J81,'Broker Actual'!J81))</f>
        <v>3.7952767543257702</v>
      </c>
      <c r="H302" s="195">
        <f>CHOOSE(IF($B$1=2,2,1),'GAAP-IFRS'!K81,IF('Broker Actual'!K81="-",'GAAP-IFRS'!K81,'Broker Actual'!K81))</f>
        <v>5.3476664851998503</v>
      </c>
      <c r="I302" s="195">
        <f>CHOOSE(IF($B$1=2,2,1),'GAAP-IFRS'!L81,IF('Broker Actual'!L81="-",'GAAP-IFRS'!L81,'Broker Actual'!L81))</f>
        <v>6.4878315632171599</v>
      </c>
      <c r="J302" s="195">
        <f>CHOOSE(IF($B$1=2,2,1),'GAAP-IFRS'!M81,IF('Broker Actual'!M81="-",'GAAP-IFRS'!M81,'Broker Actual'!M81))</f>
        <v>1.2097844816797401</v>
      </c>
      <c r="K302" s="195">
        <f>CHOOSE(IF($B$1=2,2,1),'GAAP-IFRS'!N81,IF('Broker Actual'!N81="-",'GAAP-IFRS'!N81,'Broker Actual'!N81))</f>
        <v>5.06619789609754</v>
      </c>
      <c r="L302" s="195">
        <f>CHOOSE(IF($B$1=2,2,1),'GAAP-IFRS'!O81,IF('Broker Actual'!O81="-",'GAAP-IFRS'!O81,'Broker Actual'!O81))</f>
        <v>5.2560642899340699</v>
      </c>
      <c r="P302" s="117"/>
      <c r="Q302" s="117"/>
      <c r="R302" s="117"/>
      <c r="S302" s="117"/>
      <c r="T302" s="117"/>
      <c r="U302" s="118"/>
      <c r="AB302" s="117"/>
      <c r="AC302" s="120"/>
    </row>
    <row r="303" spans="1:29" outlineLevel="1" x14ac:dyDescent="0.15">
      <c r="A303" s="78" t="s">
        <v>166</v>
      </c>
      <c r="B303" s="138">
        <f>B302/B49</f>
        <v>4.2048269071097346E-4</v>
      </c>
      <c r="C303" s="138">
        <f t="shared" ref="C303:K303" si="158">C302/C$49</f>
        <v>2.8308552268592403E-4</v>
      </c>
      <c r="D303" s="138">
        <f t="shared" si="158"/>
        <v>3.5208709897053864E-4</v>
      </c>
      <c r="E303" s="138">
        <f t="shared" si="158"/>
        <v>3.8262230158607442E-4</v>
      </c>
      <c r="F303" s="138">
        <f t="shared" si="158"/>
        <v>3.2550182304943466E-4</v>
      </c>
      <c r="G303" s="138">
        <f t="shared" si="158"/>
        <v>3.3625799644946045E-4</v>
      </c>
      <c r="H303" s="138">
        <f t="shared" si="158"/>
        <v>4.6106535200240122E-4</v>
      </c>
      <c r="I303" s="138">
        <f t="shared" si="158"/>
        <v>5.4070219463593834E-4</v>
      </c>
      <c r="J303" s="138">
        <f t="shared" si="158"/>
        <v>9.1914244815017367E-5</v>
      </c>
      <c r="K303" s="138">
        <f t="shared" si="158"/>
        <v>4.2169820507229522E-4</v>
      </c>
      <c r="L303" s="138">
        <f>L302/L$49</f>
        <v>4.3833410807556252E-4</v>
      </c>
      <c r="P303" s="117"/>
      <c r="Q303" s="117"/>
      <c r="R303" s="117"/>
      <c r="S303" s="117"/>
      <c r="T303" s="117"/>
      <c r="U303" s="118"/>
      <c r="AB303" s="117"/>
      <c r="AC303" s="120"/>
    </row>
    <row r="304" spans="1:29" outlineLevel="1" x14ac:dyDescent="0.15">
      <c r="B304" s="196"/>
      <c r="C304" s="196"/>
      <c r="D304" s="306"/>
      <c r="E304" s="306"/>
      <c r="F304" s="306"/>
      <c r="G304" s="306"/>
      <c r="H304" s="306"/>
      <c r="I304" s="306"/>
      <c r="J304" s="305"/>
      <c r="K304" s="305"/>
      <c r="L304" s="304"/>
      <c r="P304" s="117"/>
      <c r="Q304" s="117"/>
      <c r="R304" s="117"/>
      <c r="S304" s="117"/>
      <c r="T304" s="117"/>
      <c r="U304" s="194"/>
      <c r="AB304" s="117"/>
      <c r="AC304" s="120"/>
    </row>
    <row r="305" spans="1:29" outlineLevel="1" x14ac:dyDescent="0.15">
      <c r="B305" s="196"/>
      <c r="C305" s="196"/>
      <c r="D305" s="196"/>
      <c r="E305" s="196"/>
      <c r="F305" s="196"/>
      <c r="G305" s="196"/>
      <c r="H305" s="196"/>
      <c r="P305" s="117"/>
      <c r="Q305" s="117"/>
      <c r="R305" s="117"/>
      <c r="S305" s="117"/>
      <c r="T305" s="117"/>
      <c r="U305" s="118"/>
      <c r="AB305" s="117" cm="1">
        <f t="array" ref="AB305">_xll.FDSC("--",$A$1,"FF_DIV_COM_CF(LTM_R,0,,,,"&amp;$E$1&amp;")@FF_DIV_COM_CF(LTM_SEMI_R,0,,,,"&amp;$E$1&amp;")")</f>
        <v>271.5</v>
      </c>
      <c r="AC305" s="120"/>
    </row>
    <row r="306" spans="1:29" outlineLevel="1" x14ac:dyDescent="0.15">
      <c r="A306" s="277" t="s">
        <v>499</v>
      </c>
      <c r="B306" s="277"/>
      <c r="C306" s="196"/>
      <c r="D306" s="196"/>
      <c r="E306" s="196"/>
      <c r="F306" s="196"/>
      <c r="G306" s="196"/>
      <c r="H306" s="196"/>
      <c r="L306" s="139"/>
      <c r="P306" s="117"/>
      <c r="Q306" s="117"/>
      <c r="R306" s="117"/>
      <c r="S306" s="117"/>
      <c r="T306" s="117"/>
      <c r="U306" s="118"/>
      <c r="AB306" s="117"/>
      <c r="AC306" s="120"/>
    </row>
    <row r="307" spans="1:29" outlineLevel="1" x14ac:dyDescent="0.15">
      <c r="A307" s="277" t="s">
        <v>461</v>
      </c>
      <c r="B307" s="277"/>
      <c r="P307" s="117"/>
      <c r="Q307" s="117"/>
      <c r="R307" s="117"/>
      <c r="S307" s="117"/>
      <c r="T307" s="117"/>
      <c r="U307" s="118"/>
      <c r="AB307" s="117"/>
      <c r="AC307" s="120"/>
    </row>
    <row r="308" spans="1:29" outlineLevel="1" x14ac:dyDescent="0.15">
      <c r="A308" s="239"/>
      <c r="B308" s="278">
        <v>0.03</v>
      </c>
      <c r="C308" s="278">
        <v>4.9500000000000002E-2</v>
      </c>
      <c r="P308" s="117"/>
      <c r="Q308" s="117"/>
      <c r="R308" s="117"/>
      <c r="S308" s="117"/>
      <c r="T308" s="117"/>
      <c r="U308" s="118"/>
      <c r="AB308" s="117"/>
      <c r="AC308" s="120"/>
    </row>
    <row r="309" spans="1:29" outlineLevel="1" x14ac:dyDescent="0.15">
      <c r="A309" s="239" t="s">
        <v>341</v>
      </c>
      <c r="B309" s="279">
        <v>1</v>
      </c>
      <c r="C309" s="279">
        <v>0.75700000000000001</v>
      </c>
      <c r="P309" s="117"/>
      <c r="Q309" s="117"/>
      <c r="R309" s="117"/>
      <c r="S309" s="117"/>
      <c r="T309" s="117"/>
      <c r="U309" s="118"/>
      <c r="AB309" s="117"/>
      <c r="AC309" s="120"/>
    </row>
    <row r="310" spans="1:29" s="108" customFormat="1" outlineLevel="1" x14ac:dyDescent="0.15">
      <c r="A310" s="239" t="s">
        <v>490</v>
      </c>
      <c r="B310" s="278">
        <v>0.05</v>
      </c>
      <c r="C310" s="278">
        <v>0.05</v>
      </c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145"/>
      <c r="Q310" s="145"/>
      <c r="R310" s="145"/>
      <c r="S310" s="145"/>
      <c r="T310" s="145"/>
      <c r="U310" s="146"/>
      <c r="V310" s="77"/>
      <c r="W310" s="75"/>
      <c r="X310" s="75"/>
      <c r="Y310" s="75"/>
      <c r="Z310" s="75"/>
      <c r="AA310" s="78"/>
      <c r="AB310" s="145" cm="1">
        <f t="array" ref="AB310">_xll.FDSC("--",$A$1,"FF_FIN_CF(LTM_R,0,,,,"&amp;$E$1&amp;")@FF_FIN_CF(LTM_SEMI_R,0,,,,"&amp;$E$1&amp;")")</f>
        <v>-430.3</v>
      </c>
      <c r="AC310" s="158"/>
    </row>
    <row r="311" spans="1:29" outlineLevel="1" x14ac:dyDescent="0.15">
      <c r="A311" s="239" t="s">
        <v>491</v>
      </c>
      <c r="B311" s="278">
        <f>B308+(B309*B310)</f>
        <v>0.08</v>
      </c>
      <c r="C311" s="278">
        <f>C308+(C309*C310)</f>
        <v>8.7350000000000011E-2</v>
      </c>
      <c r="P311" s="117"/>
      <c r="Q311" s="117"/>
      <c r="R311" s="117"/>
      <c r="S311" s="117"/>
      <c r="T311" s="117"/>
      <c r="U311" s="118"/>
      <c r="AB311" s="117"/>
      <c r="AC311" s="120"/>
    </row>
    <row r="312" spans="1:29" outlineLevel="1" x14ac:dyDescent="0.15">
      <c r="A312" s="239" t="s">
        <v>492</v>
      </c>
      <c r="B312" s="278">
        <v>0.06</v>
      </c>
      <c r="C312" s="278">
        <v>6.7500000000000004E-2</v>
      </c>
      <c r="P312" s="117"/>
      <c r="Q312" s="117"/>
      <c r="R312" s="117"/>
      <c r="S312" s="117"/>
      <c r="T312" s="117"/>
      <c r="U312" s="194"/>
      <c r="AB312" s="117"/>
      <c r="AC312" s="120"/>
    </row>
    <row r="313" spans="1:29" outlineLevel="1" x14ac:dyDescent="0.15">
      <c r="A313" s="239" t="s">
        <v>493</v>
      </c>
      <c r="B313" s="278">
        <f>0.21</f>
        <v>0.21</v>
      </c>
      <c r="C313" s="278">
        <v>0.19869999999999999</v>
      </c>
      <c r="P313" s="117"/>
      <c r="Q313" s="117"/>
      <c r="R313" s="117"/>
      <c r="S313" s="117"/>
      <c r="T313" s="117"/>
      <c r="U313" s="118"/>
      <c r="AB313" s="117" t="str" cm="1">
        <f t="array" ref="AB313">_xll.FDSC("--",$A$1,"FF_FOR_EXCH_CF(LTM_R,0,,,,"&amp;$E$1&amp;")@FF_FOR_EXCH_CF(LTM_SEMI_R,0,,,,"&amp;$E$1&amp;")")</f>
        <v>--</v>
      </c>
      <c r="AC313" s="120"/>
    </row>
    <row r="314" spans="1:29" outlineLevel="1" x14ac:dyDescent="0.15">
      <c r="A314" s="239" t="s">
        <v>494</v>
      </c>
      <c r="B314" s="280">
        <f>B312*(1-B313)</f>
        <v>4.7399999999999998E-2</v>
      </c>
      <c r="C314" s="282">
        <f>C312*(1-C313)</f>
        <v>5.4087750000000004E-2</v>
      </c>
      <c r="P314" s="117"/>
      <c r="Q314" s="117"/>
      <c r="R314" s="117"/>
      <c r="S314" s="117"/>
      <c r="T314" s="117"/>
      <c r="U314" s="118"/>
      <c r="AB314" s="117" cm="1">
        <f t="array" ref="AB314">_xll.FDSC("--",$A$1,"FF_CHG_CASH_CF(LTM_R,0,,,,"&amp;$E$1&amp;")@FF_CHG_CASH_CF(LTM_SEMI_R,0,,,,"&amp;$E$1&amp;")")</f>
        <v>22.6</v>
      </c>
      <c r="AC314" s="120"/>
    </row>
    <row r="315" spans="1:29" outlineLevel="1" x14ac:dyDescent="0.15">
      <c r="A315" s="239" t="s">
        <v>495</v>
      </c>
      <c r="B315" s="281" t="e">
        <f>(#REF!*#REF!)/((#REF!*#REF!)+N215)</f>
        <v>#REF!</v>
      </c>
      <c r="C315" s="281">
        <f>(M122*M119)/((M119*M122)+M197)</f>
        <v>0.72845303756260571</v>
      </c>
      <c r="P315" s="117"/>
      <c r="Q315" s="117"/>
      <c r="R315" s="117"/>
      <c r="S315" s="117"/>
      <c r="T315" s="117"/>
      <c r="U315" s="118"/>
      <c r="AB315" s="117" cm="1">
        <f t="array" ref="AB315">_xll.FDSC("--",$A$1,"FF_FREE_CF(LTM_R,0,,,,"&amp;$E$1&amp;")@FF_FREE_CF(LTM_SEMI_R,0,,,,"&amp;$E$1&amp;")")</f>
        <v>824.2</v>
      </c>
      <c r="AC315" s="120"/>
    </row>
    <row r="316" spans="1:29" outlineLevel="1" x14ac:dyDescent="0.15">
      <c r="A316" s="239" t="s">
        <v>496</v>
      </c>
      <c r="B316" s="281" t="e">
        <f>(N215)/((#REF!*#REF!)+N215)</f>
        <v>#REF!</v>
      </c>
      <c r="C316" s="281">
        <f>M197/((M119*M122)+M197)</f>
        <v>0.27154696243739423</v>
      </c>
    </row>
    <row r="317" spans="1:29" outlineLevel="1" x14ac:dyDescent="0.15">
      <c r="A317" s="239" t="s">
        <v>343</v>
      </c>
      <c r="B317" s="282" t="e">
        <f>(B315*B311) + (B316*B314)</f>
        <v>#REF!</v>
      </c>
      <c r="C317" s="282">
        <f>(C315*C311) + (C316*C314)</f>
        <v>7.8317737048666791E-2</v>
      </c>
    </row>
    <row r="318" spans="1:29" outlineLevel="1" x14ac:dyDescent="0.15">
      <c r="A318" s="239" t="s">
        <v>497</v>
      </c>
      <c r="B318" s="282">
        <v>0.03</v>
      </c>
      <c r="C318" s="282">
        <v>1.7500000000000002E-2</v>
      </c>
    </row>
    <row r="319" spans="1:29" outlineLevel="1" x14ac:dyDescent="0.15">
      <c r="A319" s="239" t="s">
        <v>498</v>
      </c>
      <c r="B319" s="283">
        <f ca="1">TODAY()</f>
        <v>45262</v>
      </c>
      <c r="C319" s="283">
        <f ca="1">TODAY()</f>
        <v>45262</v>
      </c>
    </row>
    <row r="320" spans="1:29" outlineLevel="1" x14ac:dyDescent="0.15"/>
    <row r="321" spans="1:17" outlineLevel="1" x14ac:dyDescent="0.15"/>
    <row r="322" spans="1:17" outlineLevel="1" x14ac:dyDescent="0.15"/>
    <row r="323" spans="1:17" outlineLevel="1" x14ac:dyDescent="0.15">
      <c r="A323" s="277" t="s">
        <v>594</v>
      </c>
    </row>
    <row r="324" spans="1:17" outlineLevel="1" x14ac:dyDescent="0.15">
      <c r="A324" s="239" t="s">
        <v>500</v>
      </c>
      <c r="C324" s="139">
        <f t="shared" ref="C324:Q324" si="159">C115</f>
        <v>858.1</v>
      </c>
      <c r="D324" s="139">
        <f t="shared" si="159"/>
        <v>413.4</v>
      </c>
      <c r="E324" s="139">
        <f t="shared" si="159"/>
        <v>867.1</v>
      </c>
      <c r="F324" s="139">
        <f t="shared" si="159"/>
        <v>931.4</v>
      </c>
      <c r="G324" s="139">
        <f t="shared" si="159"/>
        <v>994.2</v>
      </c>
      <c r="H324" s="139">
        <f t="shared" si="159"/>
        <v>523.4</v>
      </c>
      <c r="I324" s="139">
        <f t="shared" si="159"/>
        <v>1100.3</v>
      </c>
      <c r="J324" s="139">
        <f t="shared" si="159"/>
        <v>1005.4</v>
      </c>
      <c r="K324" s="139">
        <f t="shared" si="159"/>
        <v>890.7</v>
      </c>
      <c r="L324" s="139">
        <f t="shared" si="159"/>
        <v>1254.3</v>
      </c>
      <c r="M324" s="139">
        <f t="shared" si="159"/>
        <v>1526.0611291652717</v>
      </c>
      <c r="N324" s="139">
        <f t="shared" si="159"/>
        <v>1249.1330029586225</v>
      </c>
      <c r="O324" s="139">
        <f t="shared" si="159"/>
        <v>1145.2887825081036</v>
      </c>
      <c r="P324" s="139">
        <f t="shared" si="159"/>
        <v>995.14876062955943</v>
      </c>
      <c r="Q324" s="139">
        <f t="shared" si="159"/>
        <v>907.17856643416189</v>
      </c>
    </row>
    <row r="325" spans="1:17" outlineLevel="1" x14ac:dyDescent="0.15">
      <c r="A325" s="239" t="s">
        <v>501</v>
      </c>
      <c r="C325" s="263"/>
      <c r="D325" s="78"/>
      <c r="E325" s="78"/>
      <c r="F325" s="78"/>
      <c r="G325" s="78"/>
      <c r="H325" s="78"/>
      <c r="I325" s="78"/>
      <c r="J325" s="78"/>
      <c r="K325" s="78"/>
      <c r="L325" s="78"/>
      <c r="M325" s="78"/>
    </row>
    <row r="326" spans="1:17" outlineLevel="1" x14ac:dyDescent="0.15">
      <c r="A326" s="128" t="s">
        <v>131</v>
      </c>
      <c r="C326" s="139">
        <f t="shared" ref="C326:K326" si="160">C255</f>
        <v>84.8</v>
      </c>
      <c r="D326" s="139">
        <f t="shared" si="160"/>
        <v>87.9</v>
      </c>
      <c r="E326" s="139">
        <f t="shared" si="160"/>
        <v>99.5</v>
      </c>
      <c r="F326" s="139">
        <f t="shared" si="160"/>
        <v>101.7</v>
      </c>
      <c r="G326" s="139">
        <f t="shared" si="160"/>
        <v>103.4</v>
      </c>
      <c r="H326" s="139">
        <f t="shared" si="160"/>
        <v>101.4</v>
      </c>
      <c r="I326" s="139">
        <f t="shared" si="160"/>
        <v>110.1</v>
      </c>
      <c r="J326" s="139">
        <f t="shared" si="160"/>
        <v>113.6</v>
      </c>
      <c r="K326" s="139">
        <f t="shared" si="160"/>
        <v>119.8</v>
      </c>
      <c r="L326" s="139">
        <f>L255</f>
        <v>110.5</v>
      </c>
      <c r="M326" s="139">
        <f t="shared" ref="M326:Q326" si="161">M255</f>
        <v>99.254511128744426</v>
      </c>
      <c r="N326" s="139">
        <f t="shared" si="161"/>
        <v>101.28751557096237</v>
      </c>
      <c r="O326" s="139">
        <f t="shared" si="161"/>
        <v>102.07286794709373</v>
      </c>
      <c r="P326" s="139">
        <f t="shared" si="161"/>
        <v>103.27221840859066</v>
      </c>
      <c r="Q326" s="139">
        <f t="shared" si="161"/>
        <v>103.83298919827133</v>
      </c>
    </row>
    <row r="327" spans="1:17" ht="15" outlineLevel="1" x14ac:dyDescent="0.15">
      <c r="A327" s="487" t="s">
        <v>527</v>
      </c>
      <c r="C327" s="139"/>
      <c r="D327" s="139"/>
      <c r="E327" s="139"/>
      <c r="F327" s="139"/>
      <c r="G327" s="139"/>
      <c r="H327" s="139"/>
      <c r="I327" s="139"/>
      <c r="J327" s="139"/>
      <c r="K327" s="139"/>
      <c r="L327" s="139"/>
      <c r="M327" s="139"/>
    </row>
    <row r="328" spans="1:17" outlineLevel="1" x14ac:dyDescent="0.15">
      <c r="A328" s="239" t="s">
        <v>503</v>
      </c>
      <c r="C328" s="139">
        <f t="shared" ref="C328:Q328" si="162">C101*(1-C111)</f>
        <v>103.36104929749044</v>
      </c>
      <c r="D328" s="139">
        <f t="shared" si="162"/>
        <v>114.74018241266563</v>
      </c>
      <c r="E328" s="139">
        <f t="shared" si="162"/>
        <v>111.82426584234929</v>
      </c>
      <c r="F328" s="139">
        <f t="shared" si="162"/>
        <v>109.98538587848931</v>
      </c>
      <c r="G328" s="139">
        <f t="shared" si="162"/>
        <v>105.91498021481063</v>
      </c>
      <c r="H328" s="139">
        <f t="shared" si="162"/>
        <v>132.66111194365354</v>
      </c>
      <c r="I328" s="139">
        <f t="shared" si="162"/>
        <v>137.82814402687382</v>
      </c>
      <c r="J328" s="139">
        <f t="shared" si="162"/>
        <v>151.28811032863848</v>
      </c>
      <c r="K328" s="139">
        <f t="shared" si="162"/>
        <v>157.34056175134242</v>
      </c>
      <c r="L328" s="139">
        <f t="shared" si="162"/>
        <v>166.27822993384098</v>
      </c>
      <c r="M328" s="139">
        <f t="shared" si="162"/>
        <v>162.30183497690675</v>
      </c>
      <c r="N328" s="139">
        <f t="shared" si="162"/>
        <v>162.30183497690675</v>
      </c>
      <c r="O328" s="139">
        <f t="shared" si="162"/>
        <v>216</v>
      </c>
      <c r="P328" s="139">
        <f t="shared" si="162"/>
        <v>216</v>
      </c>
      <c r="Q328" s="139">
        <f t="shared" si="162"/>
        <v>216</v>
      </c>
    </row>
    <row r="329" spans="1:17" outlineLevel="1" x14ac:dyDescent="0.15">
      <c r="A329" s="239" t="s">
        <v>504</v>
      </c>
      <c r="C329" s="139">
        <f>C270</f>
        <v>-105.5</v>
      </c>
      <c r="D329" s="139">
        <f t="shared" ref="D329:P329" si="163">D270</f>
        <v>-114.5</v>
      </c>
      <c r="E329" s="139">
        <f t="shared" si="163"/>
        <v>-100.2</v>
      </c>
      <c r="F329" s="139">
        <f t="shared" si="163"/>
        <v>-85</v>
      </c>
      <c r="G329" s="139">
        <f t="shared" si="163"/>
        <v>-105.3</v>
      </c>
      <c r="H329" s="139">
        <f t="shared" si="163"/>
        <v>-144.1</v>
      </c>
      <c r="I329" s="139">
        <f t="shared" si="163"/>
        <v>-150.9</v>
      </c>
      <c r="J329" s="139">
        <f t="shared" si="163"/>
        <v>-119.1</v>
      </c>
      <c r="K329" s="139">
        <f t="shared" si="163"/>
        <v>-110.3</v>
      </c>
      <c r="L329" s="139">
        <f t="shared" si="163"/>
        <v>-102.2</v>
      </c>
      <c r="M329" s="139">
        <f>M270</f>
        <v>-124.06813891093054</v>
      </c>
      <c r="N329" s="139">
        <f t="shared" si="163"/>
        <v>-189.91409169555442</v>
      </c>
      <c r="O329" s="139">
        <f t="shared" si="163"/>
        <v>-191.38662740080071</v>
      </c>
      <c r="P329" s="139">
        <f t="shared" si="163"/>
        <v>-258.18054602147669</v>
      </c>
      <c r="Q329" s="139">
        <f>Q270</f>
        <v>-259.58247299567836</v>
      </c>
    </row>
    <row r="330" spans="1:17" outlineLevel="1" x14ac:dyDescent="0.15">
      <c r="A330" s="239" t="s">
        <v>505</v>
      </c>
      <c r="C330" s="139"/>
      <c r="D330" s="139">
        <f t="shared" ref="D330:M330" si="164">(D172-D210)-(C172-C210)</f>
        <v>133.39999999999918</v>
      </c>
      <c r="E330" s="139">
        <f t="shared" si="164"/>
        <v>-1022.2999999999997</v>
      </c>
      <c r="F330" s="139">
        <f t="shared" si="164"/>
        <v>367.09999999999945</v>
      </c>
      <c r="G330" s="139">
        <f t="shared" si="164"/>
        <v>359.19999999999982</v>
      </c>
      <c r="H330" s="139">
        <f t="shared" si="164"/>
        <v>-335.19999999999891</v>
      </c>
      <c r="I330" s="139">
        <f t="shared" si="164"/>
        <v>-764.39999999999964</v>
      </c>
      <c r="J330" s="139">
        <f t="shared" si="164"/>
        <v>229.89999999999964</v>
      </c>
      <c r="K330" s="139">
        <f t="shared" si="164"/>
        <v>-719.60000000000036</v>
      </c>
      <c r="L330" s="139">
        <f t="shared" si="164"/>
        <v>-3257.1000000000004</v>
      </c>
      <c r="M330" s="139">
        <f t="shared" si="164"/>
        <v>2050.796191317304</v>
      </c>
      <c r="N330" s="139">
        <f t="shared" ref="N330:Q330" si="165">(N172-N210)-(M172-M210)</f>
        <v>-560.2796794402675</v>
      </c>
      <c r="O330" s="139">
        <f t="shared" si="165"/>
        <v>909.48288278202381</v>
      </c>
      <c r="P330" s="139">
        <f t="shared" si="165"/>
        <v>251.2738518717133</v>
      </c>
      <c r="Q330" s="139">
        <f t="shared" si="165"/>
        <v>308.86094199868967</v>
      </c>
    </row>
    <row r="331" spans="1:17" s="139" customFormat="1" outlineLevel="1" x14ac:dyDescent="0.15">
      <c r="A331" s="221" t="s">
        <v>506</v>
      </c>
      <c r="C331" s="139">
        <f>SUM(C324:C330)</f>
        <v>940.76104929749044</v>
      </c>
      <c r="D331" s="139">
        <f t="shared" ref="D331:P331" si="166">SUM(D324:D330)</f>
        <v>634.94018241266474</v>
      </c>
      <c r="E331" s="139">
        <f t="shared" si="166"/>
        <v>-44.075734157650459</v>
      </c>
      <c r="F331" s="139">
        <f t="shared" si="166"/>
        <v>1425.1853858784887</v>
      </c>
      <c r="G331" s="139">
        <f t="shared" si="166"/>
        <v>1457.4149802148106</v>
      </c>
      <c r="H331" s="139">
        <f t="shared" si="166"/>
        <v>278.16111194365453</v>
      </c>
      <c r="I331" s="139">
        <f t="shared" si="166"/>
        <v>432.92814402687395</v>
      </c>
      <c r="J331" s="139">
        <f t="shared" si="166"/>
        <v>1381.0881103286383</v>
      </c>
      <c r="K331" s="139">
        <f t="shared" si="166"/>
        <v>337.9405617513421</v>
      </c>
      <c r="L331" s="139">
        <f t="shared" si="166"/>
        <v>-1828.2217700661595</v>
      </c>
      <c r="M331" s="139">
        <f>SUM(M324:M330)</f>
        <v>3714.3455276772966</v>
      </c>
      <c r="N331" s="139">
        <f t="shared" si="166"/>
        <v>762.52858237066971</v>
      </c>
      <c r="O331" s="139">
        <f t="shared" si="166"/>
        <v>2181.4579058364207</v>
      </c>
      <c r="P331" s="139">
        <f t="shared" si="166"/>
        <v>1307.5142848883868</v>
      </c>
      <c r="Q331" s="139">
        <f>SUM(Q324:Q330)</f>
        <v>1276.2900246354443</v>
      </c>
    </row>
    <row r="332" spans="1:17" x14ac:dyDescent="0.15">
      <c r="A332" s="239" t="s">
        <v>508</v>
      </c>
      <c r="M332" s="488">
        <f ca="1">(M7-$C$319)/365</f>
        <v>7.9452054794520555E-2</v>
      </c>
      <c r="N332" s="488">
        <f ca="1">(N7-$C$319)/365</f>
        <v>1.0821917808219179</v>
      </c>
      <c r="O332" s="488">
        <f ca="1">(O7-$C$319)/365</f>
        <v>2.0821917808219177</v>
      </c>
      <c r="P332" s="488">
        <f ca="1">(P7-$C$319)/365</f>
        <v>3.0821917808219177</v>
      </c>
      <c r="Q332" s="488">
        <f ca="1">(Q7-$C$319)/365</f>
        <v>4.0821917808219181</v>
      </c>
    </row>
    <row r="333" spans="1:17" x14ac:dyDescent="0.15">
      <c r="A333" s="239" t="s">
        <v>509</v>
      </c>
      <c r="M333" s="287">
        <f ca="1">1/(1+$C$317)^M332</f>
        <v>0.99402705159882387</v>
      </c>
      <c r="N333" s="287">
        <f t="shared" ref="N333:Q333" ca="1" si="167">1/(1+$C$317)^N332</f>
        <v>0.9216408960531921</v>
      </c>
      <c r="O333" s="287">
        <f t="shared" ca="1" si="167"/>
        <v>0.85470252819517201</v>
      </c>
      <c r="P333" s="287">
        <f t="shared" ca="1" si="167"/>
        <v>0.79262586418588921</v>
      </c>
      <c r="Q333" s="287">
        <f t="shared" ca="1" si="167"/>
        <v>0.73505780063980941</v>
      </c>
    </row>
    <row r="334" spans="1:17" x14ac:dyDescent="0.15">
      <c r="A334" s="239" t="s">
        <v>510</v>
      </c>
      <c r="M334" s="227">
        <f ca="1">M333*M332*M331</f>
        <v>293.34969334628465</v>
      </c>
      <c r="N334" s="227">
        <f ca="1">N333*N331</f>
        <v>702.77752592227432</v>
      </c>
      <c r="O334" s="227">
        <f t="shared" ref="O334:P334" ca="1" si="168">O333*O331</f>
        <v>1864.4975872697341</v>
      </c>
      <c r="P334" s="227">
        <f t="shared" ca="1" si="168"/>
        <v>1036.3696399950525</v>
      </c>
      <c r="Q334" s="227">
        <f ca="1">Q333*Q331</f>
        <v>938.14693848705781</v>
      </c>
    </row>
    <row r="335" spans="1:17" x14ac:dyDescent="0.15">
      <c r="A335" s="239" t="s">
        <v>511</v>
      </c>
      <c r="C335" s="139">
        <f ca="1">SUM(M334:Q334)</f>
        <v>4835.1413850204035</v>
      </c>
      <c r="D335" s="227"/>
    </row>
    <row r="336" spans="1:17" x14ac:dyDescent="0.15">
      <c r="A336" s="239" t="s">
        <v>512</v>
      </c>
      <c r="C336" s="139"/>
      <c r="Q336" s="139">
        <f>(Q331*(1+C318))/(C317-C318)</f>
        <v>21352.736275396033</v>
      </c>
    </row>
    <row r="337" spans="1:17" x14ac:dyDescent="0.15">
      <c r="A337" s="239" t="s">
        <v>513</v>
      </c>
      <c r="C337" s="139">
        <f ca="1">Q336*Q333</f>
        <v>15695.495364234484</v>
      </c>
    </row>
    <row r="338" spans="1:17" x14ac:dyDescent="0.15">
      <c r="A338" s="239" t="s">
        <v>514</v>
      </c>
      <c r="C338" s="139">
        <f ca="1">C337+C335</f>
        <v>20530.636749254889</v>
      </c>
    </row>
    <row r="339" spans="1:17" x14ac:dyDescent="0.15">
      <c r="A339" s="239" t="s">
        <v>515</v>
      </c>
      <c r="C339" s="139">
        <f>L197+L196-L153</f>
        <v>3378.5</v>
      </c>
    </row>
    <row r="340" spans="1:17" x14ac:dyDescent="0.15">
      <c r="A340" s="239" t="s">
        <v>516</v>
      </c>
      <c r="C340" s="139">
        <f ca="1">C338-C339</f>
        <v>17152.136749254889</v>
      </c>
    </row>
    <row r="341" spans="1:17" x14ac:dyDescent="0.15">
      <c r="A341" s="239" t="s">
        <v>517</v>
      </c>
      <c r="C341" s="227">
        <f ca="1">C340/L122</f>
        <v>84.865606197707223</v>
      </c>
    </row>
    <row r="342" spans="1:17" x14ac:dyDescent="0.15">
      <c r="A342" s="239"/>
    </row>
    <row r="343" spans="1:17" x14ac:dyDescent="0.15">
      <c r="A343" s="239"/>
    </row>
    <row r="344" spans="1:17" x14ac:dyDescent="0.15">
      <c r="A344" s="277" t="s">
        <v>518</v>
      </c>
    </row>
    <row r="345" spans="1:17" x14ac:dyDescent="0.15">
      <c r="A345" s="239" t="s">
        <v>519</v>
      </c>
      <c r="C345" s="139">
        <f t="shared" ref="C345:Q345" si="169">C115</f>
        <v>858.1</v>
      </c>
      <c r="D345" s="139">
        <f t="shared" si="169"/>
        <v>413.4</v>
      </c>
      <c r="E345" s="139">
        <f t="shared" si="169"/>
        <v>867.1</v>
      </c>
      <c r="F345" s="139">
        <f t="shared" si="169"/>
        <v>931.4</v>
      </c>
      <c r="G345" s="139">
        <f t="shared" si="169"/>
        <v>994.2</v>
      </c>
      <c r="H345" s="139">
        <f t="shared" si="169"/>
        <v>523.4</v>
      </c>
      <c r="I345" s="139">
        <f t="shared" si="169"/>
        <v>1100.3</v>
      </c>
      <c r="J345" s="139">
        <f t="shared" si="169"/>
        <v>1005.4</v>
      </c>
      <c r="K345" s="139">
        <f t="shared" si="169"/>
        <v>890.7</v>
      </c>
      <c r="L345" s="139">
        <f t="shared" si="169"/>
        <v>1254.3</v>
      </c>
      <c r="M345" s="139">
        <f t="shared" si="169"/>
        <v>1526.0611291652717</v>
      </c>
      <c r="N345" s="139">
        <f t="shared" si="169"/>
        <v>1249.1330029586225</v>
      </c>
      <c r="O345" s="139">
        <f t="shared" si="169"/>
        <v>1145.2887825081036</v>
      </c>
      <c r="P345" s="139">
        <f t="shared" si="169"/>
        <v>995.14876062955943</v>
      </c>
      <c r="Q345" s="139">
        <f t="shared" si="169"/>
        <v>907.17856643416189</v>
      </c>
    </row>
    <row r="346" spans="1:17" x14ac:dyDescent="0.15">
      <c r="A346" s="239" t="s">
        <v>504</v>
      </c>
      <c r="C346" s="139">
        <f>C329</f>
        <v>-105.5</v>
      </c>
      <c r="D346" s="139">
        <f t="shared" ref="D346:Q346" si="170">D329</f>
        <v>-114.5</v>
      </c>
      <c r="E346" s="139">
        <f t="shared" si="170"/>
        <v>-100.2</v>
      </c>
      <c r="F346" s="139">
        <f t="shared" si="170"/>
        <v>-85</v>
      </c>
      <c r="G346" s="139">
        <f t="shared" si="170"/>
        <v>-105.3</v>
      </c>
      <c r="H346" s="139">
        <f t="shared" si="170"/>
        <v>-144.1</v>
      </c>
      <c r="I346" s="139">
        <f t="shared" si="170"/>
        <v>-150.9</v>
      </c>
      <c r="J346" s="139">
        <f t="shared" si="170"/>
        <v>-119.1</v>
      </c>
      <c r="K346" s="139">
        <f t="shared" si="170"/>
        <v>-110.3</v>
      </c>
      <c r="L346" s="139">
        <f t="shared" si="170"/>
        <v>-102.2</v>
      </c>
      <c r="M346" s="139">
        <f t="shared" si="170"/>
        <v>-124.06813891093054</v>
      </c>
      <c r="N346" s="139">
        <f t="shared" si="170"/>
        <v>-189.91409169555442</v>
      </c>
      <c r="O346" s="139">
        <f t="shared" si="170"/>
        <v>-191.38662740080071</v>
      </c>
      <c r="P346" s="139">
        <f t="shared" si="170"/>
        <v>-258.18054602147669</v>
      </c>
      <c r="Q346" s="139">
        <f t="shared" si="170"/>
        <v>-259.58247299567836</v>
      </c>
    </row>
    <row r="347" spans="1:17" x14ac:dyDescent="0.15">
      <c r="A347" s="285" t="s">
        <v>502</v>
      </c>
      <c r="C347" s="139">
        <f>C326</f>
        <v>84.8</v>
      </c>
      <c r="D347" s="139">
        <f t="shared" ref="D347:Q347" si="171">D326</f>
        <v>87.9</v>
      </c>
      <c r="E347" s="139">
        <f t="shared" si="171"/>
        <v>99.5</v>
      </c>
      <c r="F347" s="139">
        <f t="shared" si="171"/>
        <v>101.7</v>
      </c>
      <c r="G347" s="139">
        <f t="shared" si="171"/>
        <v>103.4</v>
      </c>
      <c r="H347" s="139">
        <f t="shared" si="171"/>
        <v>101.4</v>
      </c>
      <c r="I347" s="139">
        <f t="shared" si="171"/>
        <v>110.1</v>
      </c>
      <c r="J347" s="139">
        <f t="shared" si="171"/>
        <v>113.6</v>
      </c>
      <c r="K347" s="139">
        <f t="shared" si="171"/>
        <v>119.8</v>
      </c>
      <c r="L347" s="139">
        <f t="shared" si="171"/>
        <v>110.5</v>
      </c>
      <c r="M347" s="139">
        <f t="shared" si="171"/>
        <v>99.254511128744426</v>
      </c>
      <c r="N347" s="139">
        <f t="shared" si="171"/>
        <v>101.28751557096237</v>
      </c>
      <c r="O347" s="139">
        <f t="shared" si="171"/>
        <v>102.07286794709373</v>
      </c>
      <c r="P347" s="139">
        <f t="shared" si="171"/>
        <v>103.27221840859066</v>
      </c>
      <c r="Q347" s="139">
        <f t="shared" si="171"/>
        <v>103.83298919827133</v>
      </c>
    </row>
    <row r="348" spans="1:17" x14ac:dyDescent="0.15">
      <c r="A348" s="239" t="s">
        <v>505</v>
      </c>
      <c r="C348" s="139">
        <f>C330</f>
        <v>0</v>
      </c>
      <c r="D348" s="139">
        <f t="shared" ref="D348:Q348" si="172">D330</f>
        <v>133.39999999999918</v>
      </c>
      <c r="E348" s="139">
        <f t="shared" si="172"/>
        <v>-1022.2999999999997</v>
      </c>
      <c r="F348" s="139">
        <f t="shared" si="172"/>
        <v>367.09999999999945</v>
      </c>
      <c r="G348" s="139">
        <f t="shared" si="172"/>
        <v>359.19999999999982</v>
      </c>
      <c r="H348" s="139">
        <f t="shared" si="172"/>
        <v>-335.19999999999891</v>
      </c>
      <c r="I348" s="139">
        <f t="shared" si="172"/>
        <v>-764.39999999999964</v>
      </c>
      <c r="J348" s="139">
        <f t="shared" si="172"/>
        <v>229.89999999999964</v>
      </c>
      <c r="K348" s="139">
        <f t="shared" si="172"/>
        <v>-719.60000000000036</v>
      </c>
      <c r="L348" s="139">
        <f t="shared" si="172"/>
        <v>-3257.1000000000004</v>
      </c>
      <c r="M348" s="139">
        <f t="shared" si="172"/>
        <v>2050.796191317304</v>
      </c>
      <c r="N348" s="139">
        <f t="shared" si="172"/>
        <v>-560.2796794402675</v>
      </c>
      <c r="O348" s="139">
        <f t="shared" si="172"/>
        <v>909.48288278202381</v>
      </c>
      <c r="P348" s="139">
        <f t="shared" si="172"/>
        <v>251.2738518717133</v>
      </c>
      <c r="Q348" s="139">
        <f t="shared" si="172"/>
        <v>308.86094199868967</v>
      </c>
    </row>
    <row r="349" spans="1:17" x14ac:dyDescent="0.15">
      <c r="A349" s="239" t="s">
        <v>520</v>
      </c>
      <c r="D349" s="139">
        <f>(D197+D196-D153)-(C197+C196-C153)</f>
        <v>83.699999999999818</v>
      </c>
      <c r="E349" s="139">
        <f t="shared" ref="E349:Q349" si="173">(E197+E196-E153)-(D197+D196-D153)</f>
        <v>10.400000000000091</v>
      </c>
      <c r="F349" s="139">
        <f t="shared" si="173"/>
        <v>210.5</v>
      </c>
      <c r="G349" s="139">
        <f t="shared" si="173"/>
        <v>-38.099999999999909</v>
      </c>
      <c r="H349" s="139">
        <f t="shared" si="173"/>
        <v>16.400000000000091</v>
      </c>
      <c r="I349" s="139">
        <f t="shared" si="173"/>
        <v>479.90000000000009</v>
      </c>
      <c r="J349" s="139">
        <f t="shared" si="173"/>
        <v>-102.60000000000036</v>
      </c>
      <c r="K349" s="139">
        <f t="shared" si="173"/>
        <v>195.19999999999982</v>
      </c>
      <c r="L349" s="139">
        <f t="shared" si="173"/>
        <v>-71.299999999999727</v>
      </c>
      <c r="M349" s="139">
        <f t="shared" si="173"/>
        <v>-329.69850542668519</v>
      </c>
      <c r="N349" s="139">
        <f t="shared" si="173"/>
        <v>68.422689871673356</v>
      </c>
      <c r="O349" s="139">
        <f t="shared" si="173"/>
        <v>58.36597887193966</v>
      </c>
      <c r="P349" s="139">
        <f t="shared" si="173"/>
        <v>59.498462112380366</v>
      </c>
      <c r="Q349" s="139">
        <f t="shared" si="173"/>
        <v>55.989712916310054</v>
      </c>
    </row>
    <row r="350" spans="1:17" x14ac:dyDescent="0.15">
      <c r="A350" s="239" t="s">
        <v>521</v>
      </c>
      <c r="C350" s="139">
        <f>SUM(C345:C349)</f>
        <v>837.4</v>
      </c>
      <c r="D350" s="139">
        <f>SUM(D345:D349)</f>
        <v>603.89999999999895</v>
      </c>
      <c r="E350" s="139">
        <f t="shared" ref="E350:Q350" si="174">SUM(E345:E349)</f>
        <v>-145.49999999999966</v>
      </c>
      <c r="F350" s="139">
        <f t="shared" si="174"/>
        <v>1525.6999999999994</v>
      </c>
      <c r="G350" s="139">
        <f t="shared" si="174"/>
        <v>1313.4</v>
      </c>
      <c r="H350" s="139">
        <f t="shared" si="174"/>
        <v>161.90000000000111</v>
      </c>
      <c r="I350" s="139">
        <f t="shared" si="174"/>
        <v>775.00000000000045</v>
      </c>
      <c r="J350" s="139">
        <f t="shared" si="174"/>
        <v>1127.1999999999994</v>
      </c>
      <c r="K350" s="139">
        <f t="shared" si="174"/>
        <v>375.7999999999995</v>
      </c>
      <c r="L350" s="139">
        <f t="shared" si="174"/>
        <v>-2065.8000000000002</v>
      </c>
      <c r="M350" s="139">
        <f t="shared" si="174"/>
        <v>3222.3451872737046</v>
      </c>
      <c r="N350" s="139">
        <f t="shared" si="174"/>
        <v>668.64943726543629</v>
      </c>
      <c r="O350" s="139">
        <f t="shared" si="174"/>
        <v>2023.8238847083601</v>
      </c>
      <c r="P350" s="139">
        <f t="shared" si="174"/>
        <v>1151.0127470007669</v>
      </c>
      <c r="Q350" s="139">
        <f t="shared" si="174"/>
        <v>1116.2797375517546</v>
      </c>
    </row>
    <row r="351" spans="1:17" x14ac:dyDescent="0.15">
      <c r="A351" s="284" t="s">
        <v>507</v>
      </c>
      <c r="D351" s="300">
        <f>(D350-C350)/C350</f>
        <v>-0.27883926438977913</v>
      </c>
      <c r="E351" s="300">
        <f t="shared" ref="E351:Q351" si="175">(E350-D350)/D350</f>
        <v>-1.2409339294585195</v>
      </c>
      <c r="F351" s="300">
        <f t="shared" si="175"/>
        <v>-11.485910652920982</v>
      </c>
      <c r="G351" s="300">
        <f t="shared" si="175"/>
        <v>-0.13914924297043937</v>
      </c>
      <c r="H351" s="300">
        <f t="shared" si="175"/>
        <v>-0.87673214557636592</v>
      </c>
      <c r="I351" s="300">
        <f t="shared" si="175"/>
        <v>3.7869054972204763</v>
      </c>
      <c r="J351" s="300">
        <f t="shared" si="175"/>
        <v>0.45445161290322411</v>
      </c>
      <c r="K351" s="300">
        <f t="shared" si="175"/>
        <v>-0.66660752306600446</v>
      </c>
      <c r="L351" s="300">
        <f t="shared" si="175"/>
        <v>-6.4970729111229453</v>
      </c>
      <c r="M351" s="300">
        <f t="shared" si="175"/>
        <v>-2.5598534162424751</v>
      </c>
      <c r="N351" s="300">
        <f t="shared" si="175"/>
        <v>-0.79249602435325883</v>
      </c>
      <c r="O351" s="300">
        <f t="shared" si="175"/>
        <v>2.0267338487341835</v>
      </c>
      <c r="P351" s="300">
        <f t="shared" si="175"/>
        <v>-0.4312683254221838</v>
      </c>
      <c r="Q351" s="300">
        <f t="shared" si="175"/>
        <v>-3.0176042393550661E-2</v>
      </c>
    </row>
    <row r="352" spans="1:17" x14ac:dyDescent="0.15">
      <c r="A352" s="239" t="s">
        <v>508</v>
      </c>
      <c r="M352" s="489">
        <f ca="1">M332</f>
        <v>7.9452054794520555E-2</v>
      </c>
      <c r="N352" s="489">
        <f t="shared" ref="N352:Q352" ca="1" si="176">N332</f>
        <v>1.0821917808219179</v>
      </c>
      <c r="O352" s="489">
        <f t="shared" ca="1" si="176"/>
        <v>2.0821917808219177</v>
      </c>
      <c r="P352" s="489">
        <f t="shared" ca="1" si="176"/>
        <v>3.0821917808219177</v>
      </c>
      <c r="Q352" s="489">
        <f t="shared" ca="1" si="176"/>
        <v>4.0821917808219181</v>
      </c>
    </row>
    <row r="353" spans="1:17" x14ac:dyDescent="0.15">
      <c r="A353" s="239" t="s">
        <v>509</v>
      </c>
      <c r="M353" s="287">
        <f ca="1">1/(1+$C$311)^M352</f>
        <v>0.99336848956106616</v>
      </c>
      <c r="N353" s="287">
        <f ca="1">1/(1+$C$311)^N352</f>
        <v>0.91335871875238872</v>
      </c>
      <c r="O353" s="287">
        <f t="shared" ref="O353:Q353" ca="1" si="177">1/(1+$C$311)^O352</f>
        <v>0.83998594633962265</v>
      </c>
      <c r="P353" s="287">
        <f t="shared" ca="1" si="177"/>
        <v>0.77250742294534658</v>
      </c>
      <c r="Q353" s="287">
        <f t="shared" ca="1" si="177"/>
        <v>0.71044964633774454</v>
      </c>
    </row>
    <row r="354" spans="1:17" x14ac:dyDescent="0.15">
      <c r="A354" s="239" t="s">
        <v>510</v>
      </c>
      <c r="M354" s="139">
        <f ca="1">M350*M352*M353</f>
        <v>254.32413417607418</v>
      </c>
      <c r="N354" s="139">
        <f ca="1">N353*N350</f>
        <v>610.71679331526457</v>
      </c>
      <c r="O354" s="139">
        <f t="shared" ref="O354:Q354" ca="1" si="178">O353*O350</f>
        <v>1699.9836210214833</v>
      </c>
      <c r="P354" s="139">
        <f t="shared" ca="1" si="178"/>
        <v>889.16589096280666</v>
      </c>
      <c r="Q354" s="139">
        <f t="shared" ca="1" si="178"/>
        <v>793.06054475763437</v>
      </c>
    </row>
    <row r="355" spans="1:17" x14ac:dyDescent="0.15">
      <c r="A355" s="239" t="s">
        <v>511</v>
      </c>
      <c r="C355" s="139">
        <f ca="1">SUM(M354:Q354)</f>
        <v>4247.2509842332629</v>
      </c>
    </row>
    <row r="356" spans="1:17" x14ac:dyDescent="0.15">
      <c r="A356" s="239" t="s">
        <v>512</v>
      </c>
      <c r="Q356" s="139">
        <f>(Q350*(1+C318))/(C311-C318)</f>
        <v>16260.767830478313</v>
      </c>
    </row>
    <row r="357" spans="1:17" x14ac:dyDescent="0.15">
      <c r="A357" s="239" t="s">
        <v>513</v>
      </c>
      <c r="C357" s="139">
        <f ca="1">Q356*Q353</f>
        <v>11552.456754343491</v>
      </c>
    </row>
    <row r="358" spans="1:17" x14ac:dyDescent="0.15">
      <c r="A358" s="239" t="s">
        <v>516</v>
      </c>
      <c r="C358" s="139">
        <f ca="1">C357+C355</f>
        <v>15799.707738576755</v>
      </c>
    </row>
    <row r="359" spans="1:17" x14ac:dyDescent="0.15">
      <c r="A359" s="239" t="s">
        <v>517</v>
      </c>
      <c r="C359" s="227">
        <f ca="1">C358/L122</f>
        <v>78.174037123343865</v>
      </c>
    </row>
  </sheetData>
  <conditionalFormatting sqref="B184">
    <cfRule type="expression" dxfId="94" priority="64">
      <formula>$B$1=2</formula>
    </cfRule>
  </conditionalFormatting>
  <conditionalFormatting sqref="B186">
    <cfRule type="expression" dxfId="92" priority="81">
      <formula>$B$1=2</formula>
    </cfRule>
  </conditionalFormatting>
  <conditionalFormatting sqref="B187:B188">
    <cfRule type="expression" dxfId="91" priority="62">
      <formula>$B$1=2</formula>
    </cfRule>
  </conditionalFormatting>
  <conditionalFormatting sqref="B189">
    <cfRule type="expression" dxfId="89" priority="83">
      <formula>$B$1=2</formula>
    </cfRule>
  </conditionalFormatting>
  <conditionalFormatting sqref="B190">
    <cfRule type="expression" dxfId="87" priority="60">
      <formula>$B$1=2</formula>
    </cfRule>
  </conditionalFormatting>
  <conditionalFormatting sqref="B191:B193">
    <cfRule type="expression" dxfId="85" priority="58">
      <formula>$B$1=2</formula>
    </cfRule>
  </conditionalFormatting>
  <conditionalFormatting sqref="B194">
    <cfRule type="expression" dxfId="83" priority="56">
      <formula>$B$1=2</formula>
    </cfRule>
  </conditionalFormatting>
  <conditionalFormatting sqref="B195">
    <cfRule type="expression" dxfId="81" priority="54">
      <formula>$B$1=2</formula>
    </cfRule>
  </conditionalFormatting>
  <conditionalFormatting sqref="B200">
    <cfRule type="expression" dxfId="78" priority="52">
      <formula>$B$1=2</formula>
    </cfRule>
  </conditionalFormatting>
  <conditionalFormatting sqref="B257">
    <cfRule type="expression" dxfId="76" priority="1">
      <formula>$B$1=2</formula>
    </cfRule>
    <cfRule type="expression" dxfId="74" priority="2">
      <formula>$B$1=1</formula>
    </cfRule>
    <cfRule type="expression" dxfId="72" priority="77">
      <formula>$B$1=2</formula>
    </cfRule>
  </conditionalFormatting>
  <conditionalFormatting sqref="B270">
    <cfRule type="expression" dxfId="67" priority="25">
      <formula>$B$1=2</formula>
    </cfRule>
  </conditionalFormatting>
  <conditionalFormatting sqref="B92:L92 B172:L172 B173 B174:L174 B182:L183 B184 B186:B200 B219:L222 B272:L275 B276 B277:L277 B278 B279:L282">
    <cfRule type="expression" dxfId="64" priority="3">
      <formula>$B$1=1</formula>
    </cfRule>
  </conditionalFormatting>
  <conditionalFormatting sqref="B92:L92 B272:L275 B276 B277:L277 B278 B279:L281 B258:H258 B259 B261:B263">
    <cfRule type="expression" dxfId="63" priority="4">
      <formula>$B$1=2</formula>
    </cfRule>
  </conditionalFormatting>
  <conditionalFormatting sqref="B94:L94 B108:L108 B110:L110 B122:L122 B124:L124 B49:L49 B101:L101 B103:L104 B115:L115 I258:L258">
    <cfRule type="expression" dxfId="62" priority="19">
      <formula>$B$1=2</formula>
    </cfRule>
  </conditionalFormatting>
  <conditionalFormatting sqref="B167:L168">
    <cfRule type="expression" dxfId="56" priority="48">
      <formula>$B$1=2</formula>
    </cfRule>
  </conditionalFormatting>
  <conditionalFormatting sqref="B172:L172 B173">
    <cfRule type="expression" dxfId="55" priority="46">
      <formula>$B$1=2</formula>
    </cfRule>
  </conditionalFormatting>
  <conditionalFormatting sqref="B174:L174">
    <cfRule type="expression" dxfId="53" priority="79">
      <formula>$B$1=2</formula>
    </cfRule>
  </conditionalFormatting>
  <conditionalFormatting sqref="B182:L183">
    <cfRule type="expression" dxfId="50" priority="50">
      <formula>$B$1=2</formula>
    </cfRule>
  </conditionalFormatting>
  <conditionalFormatting sqref="B196:L197 B198">
    <cfRule type="expression" dxfId="48" priority="67">
      <formula>$B$1=2</formula>
    </cfRule>
  </conditionalFormatting>
  <conditionalFormatting sqref="B196:L197">
    <cfRule type="expression" dxfId="47" priority="66">
      <formula>$B$1=1</formula>
    </cfRule>
  </conditionalFormatting>
  <conditionalFormatting sqref="B199:L199">
    <cfRule type="expression" dxfId="46" priority="97">
      <formula>$B$1=2</formula>
    </cfRule>
    <cfRule type="expression" dxfId="44" priority="96">
      <formula>$B$1=1</formula>
    </cfRule>
  </conditionalFormatting>
  <conditionalFormatting sqref="B202:L202 B203">
    <cfRule type="expression" dxfId="42" priority="70">
      <formula>$B$1=2</formula>
    </cfRule>
    <cfRule type="expression" dxfId="41" priority="69">
      <formula>$B$1=1</formula>
    </cfRule>
  </conditionalFormatting>
  <conditionalFormatting sqref="B206:L206">
    <cfRule type="expression" dxfId="39" priority="35">
      <formula>$B$1=2</formula>
    </cfRule>
  </conditionalFormatting>
  <conditionalFormatting sqref="B212:L212 B214:L215 B216:B217">
    <cfRule type="expression" dxfId="38" priority="13">
      <formula>$B$1=1</formula>
    </cfRule>
    <cfRule type="expression" dxfId="36" priority="14">
      <formula>$B$1=2</formula>
    </cfRule>
  </conditionalFormatting>
  <conditionalFormatting sqref="B219:L220">
    <cfRule type="expression" dxfId="34" priority="87">
      <formula>$B$1=2</formula>
    </cfRule>
  </conditionalFormatting>
  <conditionalFormatting sqref="B221:L222">
    <cfRule type="expression" dxfId="32" priority="85">
      <formula>$B$1=2</formula>
    </cfRule>
  </conditionalFormatting>
  <conditionalFormatting sqref="B254:L255">
    <cfRule type="expression" dxfId="30" priority="10">
      <formula>$B$1=1</formula>
    </cfRule>
    <cfRule type="expression" dxfId="29" priority="11">
      <formula>$B$1=2</formula>
    </cfRule>
  </conditionalFormatting>
  <conditionalFormatting sqref="B258:L258 B259 B261:B263 B49:L49 B94:L94 B101:L101 B103:L104 B108:L108 B110:L110 B115:L115 B122:L122 B124:L124 B167:L168 B206:L206 B265:L265 B270">
    <cfRule type="expression" dxfId="28" priority="15">
      <formula>$B$1=1</formula>
    </cfRule>
  </conditionalFormatting>
  <conditionalFormatting sqref="B265:L265">
    <cfRule type="expression" dxfId="27" priority="73">
      <formula>$B$1=2</formula>
    </cfRule>
  </conditionalFormatting>
  <conditionalFormatting sqref="B275:L275 B276">
    <cfRule type="expression" dxfId="22" priority="23">
      <formula>$B$1=2</formula>
    </cfRule>
  </conditionalFormatting>
  <conditionalFormatting sqref="B280:L280">
    <cfRule type="expression" dxfId="19" priority="29">
      <formula>$B$1=2</formula>
    </cfRule>
  </conditionalFormatting>
  <conditionalFormatting sqref="B280:L281">
    <cfRule type="expression" dxfId="17" priority="27">
      <formula>$B$1=2</formula>
    </cfRule>
  </conditionalFormatting>
  <conditionalFormatting sqref="B281:L281">
    <cfRule type="expression" dxfId="13" priority="43">
      <formula>$B$1=2</formula>
    </cfRule>
    <cfRule type="expression" dxfId="12" priority="41">
      <formula>$B$1=2</formula>
    </cfRule>
  </conditionalFormatting>
  <conditionalFormatting sqref="B282:L282">
    <cfRule type="expression" dxfId="9" priority="31">
      <formula>$B$1=2</formula>
    </cfRule>
  </conditionalFormatting>
  <conditionalFormatting sqref="B291:L291">
    <cfRule type="expression" dxfId="8" priority="39">
      <formula>$B$1=2</formula>
    </cfRule>
    <cfRule type="expression" dxfId="7" priority="38">
      <formula>$B$1=1</formula>
    </cfRule>
  </conditionalFormatting>
  <conditionalFormatting sqref="B293:L296 B299:L302">
    <cfRule type="expression" dxfId="4" priority="7">
      <formula>$B$1=2</formula>
    </cfRule>
    <cfRule type="expression" dxfId="3" priority="6">
      <formula>$B$1=1</formula>
    </cfRule>
  </conditionalFormatting>
  <conditionalFormatting sqref="I273:L275">
    <cfRule type="expression" dxfId="1" priority="21">
      <formula>$B$1=2</formula>
    </cfRule>
  </conditionalFormatting>
  <conditionalFormatting sqref="I277:L277">
    <cfRule type="expression" dxfId="0" priority="93">
      <formula>$B$1=2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id="{4D3D95F2-BEBA-4709-939F-8A0485A6F907}">
            <xm:f>AND($B$1=2,'Broker Actual'!E36="-")</xm:f>
            <x14:dxf>
              <font>
                <color rgb="FF00B050"/>
              </font>
            </x14:dxf>
          </x14:cfRule>
          <xm:sqref>B184</xm:sqref>
        </x14:conditionalFormatting>
        <x14:conditionalFormatting xmlns:xm="http://schemas.microsoft.com/office/excel/2006/main">
          <x14:cfRule type="expression" priority="80" id="{2993BC83-ED34-4FD5-96D3-5557772CA7F3}">
            <xm:f>AND($B$1=2,'Broker Actual'!E37="-")</xm:f>
            <x14:dxf>
              <font>
                <color rgb="FF00B050"/>
              </font>
            </x14:dxf>
          </x14:cfRule>
          <xm:sqref>B186</xm:sqref>
        </x14:conditionalFormatting>
        <x14:conditionalFormatting xmlns:xm="http://schemas.microsoft.com/office/excel/2006/main">
          <x14:cfRule type="expression" priority="61" id="{09CB49C0-11D1-4865-8976-F5393CC08C87}">
            <xm:f>AND($B$1=2,'Broker Actual'!E36="-")</xm:f>
            <x14:dxf>
              <font>
                <color rgb="FF00B050"/>
              </font>
            </x14:dxf>
          </x14:cfRule>
          <xm:sqref>B187:B188</xm:sqref>
        </x14:conditionalFormatting>
        <x14:conditionalFormatting xmlns:xm="http://schemas.microsoft.com/office/excel/2006/main">
          <x14:cfRule type="expression" priority="82" id="{1572DFD1-5D50-4016-8EF5-B968E38EC15C}">
            <xm:f>AND($B$1=2,'Broker Actual'!E37="-")</xm:f>
            <x14:dxf>
              <font>
                <color rgb="FF00B050"/>
              </font>
            </x14:dxf>
          </x14:cfRule>
          <xm:sqref>B189</xm:sqref>
        </x14:conditionalFormatting>
        <x14:conditionalFormatting xmlns:xm="http://schemas.microsoft.com/office/excel/2006/main">
          <x14:cfRule type="expression" priority="59" id="{B91164C2-8611-4AEA-8988-E0708439EC79}">
            <xm:f>AND($B$1=2,'Broker Actual'!E36="-")</xm:f>
            <x14:dxf>
              <font>
                <color rgb="FF00B050"/>
              </font>
            </x14:dxf>
          </x14:cfRule>
          <xm:sqref>B190</xm:sqref>
        </x14:conditionalFormatting>
        <x14:conditionalFormatting xmlns:xm="http://schemas.microsoft.com/office/excel/2006/main">
          <x14:cfRule type="expression" priority="57" id="{EF2B77AB-DB01-439F-AFF3-5C104EFCF019}">
            <xm:f>AND($B$1=2,'Broker Actual'!E36="-")</xm:f>
            <x14:dxf>
              <font>
                <color rgb="FF00B050"/>
              </font>
            </x14:dxf>
          </x14:cfRule>
          <xm:sqref>B191:B193</xm:sqref>
        </x14:conditionalFormatting>
        <x14:conditionalFormatting xmlns:xm="http://schemas.microsoft.com/office/excel/2006/main">
          <x14:cfRule type="expression" priority="55" id="{EB615F2F-DFA4-4583-8E27-EC80797DEBEF}">
            <xm:f>AND($B$1=2,'Broker Actual'!E36="-")</xm:f>
            <x14:dxf>
              <font>
                <color rgb="FF00B050"/>
              </font>
            </x14:dxf>
          </x14:cfRule>
          <xm:sqref>B194</xm:sqref>
        </x14:conditionalFormatting>
        <x14:conditionalFormatting xmlns:xm="http://schemas.microsoft.com/office/excel/2006/main">
          <x14:cfRule type="expression" priority="53" id="{2DCE8ABC-6BEC-422C-8FC7-1C79C9521368}">
            <xm:f>AND($B$1=2,'Broker Actual'!E36="-")</xm:f>
            <x14:dxf>
              <font>
                <color rgb="FF00B050"/>
              </font>
            </x14:dxf>
          </x14:cfRule>
          <xm:sqref>B195</xm:sqref>
        </x14:conditionalFormatting>
        <x14:conditionalFormatting xmlns:xm="http://schemas.microsoft.com/office/excel/2006/main">
          <x14:cfRule type="expression" priority="51" id="{79A0443D-01F3-4270-9E1A-F0B266169DEF}">
            <xm:f>AND($B$1=2,'Broker Actual'!E36="-")</xm:f>
            <x14:dxf>
              <font>
                <color rgb="FF00B050"/>
              </font>
            </x14:dxf>
          </x14:cfRule>
          <xm:sqref>B200</xm:sqref>
        </x14:conditionalFormatting>
        <x14:conditionalFormatting xmlns:xm="http://schemas.microsoft.com/office/excel/2006/main">
          <x14:cfRule type="expression" priority="91" id="{1B424D3D-DDEB-4812-AE94-2D98B000E49F}">
            <xm:f>AND($B$1=2,'Broker Actual'!E49="-")</xm:f>
            <x14:dxf>
              <font>
                <color rgb="FF00B050"/>
              </font>
            </x14:dxf>
          </x14:cfRule>
          <xm:sqref>B257 B262</xm:sqref>
        </x14:conditionalFormatting>
        <x14:conditionalFormatting xmlns:xm="http://schemas.microsoft.com/office/excel/2006/main">
          <x14:cfRule type="expression" priority="71" id="{6063C8A6-95AB-4F82-87F3-B131518D6434}">
            <xm:f>AND($B$1=2,'Broker Actual'!E55="-")</xm:f>
            <x14:dxf>
              <font>
                <color rgb="FF00B050"/>
              </font>
            </x14:dxf>
          </x14:cfRule>
          <x14:cfRule type="expression" priority="76" id="{A192F5A8-E492-4833-8BB2-91E3AD37C38D}">
            <xm:f>AND($B$1=2,'Broker Actual'!E52="-")</xm:f>
            <x14:dxf>
              <font>
                <color rgb="FF00B050"/>
              </font>
            </x14:dxf>
          </x14:cfRule>
          <x14:cfRule type="expression" priority="88" id="{210FB5F0-B243-46B4-9322-49526EC800F3}">
            <xm:f>AND($B$1=2,'Broker Actual'!E54="-")</xm:f>
            <x14:dxf>
              <font>
                <color rgb="FF00B050"/>
              </font>
            </x14:dxf>
          </x14:cfRule>
          <xm:sqref>B257</xm:sqref>
        </x14:conditionalFormatting>
        <x14:conditionalFormatting xmlns:xm="http://schemas.microsoft.com/office/excel/2006/main">
          <x14:cfRule type="expression" priority="74" id="{6B3DB6A3-1FEF-494D-BDD3-9A84350AEEB1}">
            <xm:f>AND($B$1=2,'Broker Actual'!E54="-")</xm:f>
            <x14:dxf>
              <font>
                <color rgb="FF00B050"/>
              </font>
            </x14:dxf>
          </x14:cfRule>
          <xm:sqref>B261</xm:sqref>
        </x14:conditionalFormatting>
        <x14:conditionalFormatting xmlns:xm="http://schemas.microsoft.com/office/excel/2006/main">
          <x14:cfRule type="expression" priority="75" id="{32870F95-460A-4639-87D8-EF899C2075D7}">
            <xm:f>AND($B$1=2,'Broker Actual'!E54="-")</xm:f>
            <x14:dxf>
              <font>
                <color rgb="FF00B050"/>
              </font>
            </x14:dxf>
          </x14:cfRule>
          <xm:sqref>B263 B277:L277 B278</xm:sqref>
        </x14:conditionalFormatting>
        <x14:conditionalFormatting xmlns:xm="http://schemas.microsoft.com/office/excel/2006/main">
          <x14:cfRule type="expression" priority="24" id="{28D02583-CBB6-4469-8B09-53DE919F1249}">
            <xm:f>AND($B$1=2,'Broker Actual'!E59="-")</xm:f>
            <x14:dxf>
              <font>
                <color rgb="FF00B050"/>
              </font>
            </x14:dxf>
          </x14:cfRule>
          <xm:sqref>B270</xm:sqref>
        </x14:conditionalFormatting>
        <x14:conditionalFormatting xmlns:xm="http://schemas.microsoft.com/office/excel/2006/main">
          <x14:cfRule type="expression" priority="44" id="{4B64FE8A-2A6A-45B0-A42C-3DB3775A3AFB}">
            <xm:f>AND($B$1=2,'Broker Actual'!E53="-")</xm:f>
            <x14:dxf>
              <font>
                <color rgb="FF00B050"/>
              </font>
            </x14:dxf>
          </x14:cfRule>
          <xm:sqref>B273:H275 B276 B258:L258 B259 B277:L277 B278</xm:sqref>
        </x14:conditionalFormatting>
        <x14:conditionalFormatting xmlns:xm="http://schemas.microsoft.com/office/excel/2006/main">
          <x14:cfRule type="expression" priority="18" id="{AC5E5790-8045-412D-BEF1-3D5CC459E1B4}">
            <xm:f>AND($B$1=2,'Broker Actual'!E25="-")</xm:f>
            <x14:dxf>
              <font>
                <color rgb="FF00B050"/>
              </font>
            </x14:dxf>
          </x14:cfRule>
          <xm:sqref>B92:L92 B94:L94</xm:sqref>
        </x14:conditionalFormatting>
        <x14:conditionalFormatting xmlns:xm="http://schemas.microsoft.com/office/excel/2006/main">
          <x14:cfRule type="expression" priority="32" id="{99FFCEEB-F983-49A7-8933-A2CE9877889E}">
            <xm:f>AND($B$1=2,'Broker Actual'!E17="-")</xm:f>
            <x14:dxf>
              <font>
                <color rgb="FF00B050"/>
              </font>
            </x14:dxf>
          </x14:cfRule>
          <xm:sqref>B103:L104</xm:sqref>
        </x14:conditionalFormatting>
        <x14:conditionalFormatting xmlns:xm="http://schemas.microsoft.com/office/excel/2006/main">
          <x14:cfRule type="expression" priority="17" id="{F45E6E9E-253E-4448-A814-026DCD672021}">
            <xm:f>AND($B$1=2,'Broker Actual'!E19="-")</xm:f>
            <x14:dxf>
              <font>
                <color rgb="FF00B050"/>
              </font>
            </x14:dxf>
          </x14:cfRule>
          <xm:sqref>B108:L108 B110:L110</xm:sqref>
        </x14:conditionalFormatting>
        <x14:conditionalFormatting xmlns:xm="http://schemas.microsoft.com/office/excel/2006/main">
          <x14:cfRule type="expression" priority="33" id="{571DE6B7-C7B9-4027-8DE4-A17192DC33B8}">
            <xm:f>AND($B$1=2,'Broker Actual'!E22="-")</xm:f>
            <x14:dxf>
              <font>
                <color rgb="FF00B050"/>
              </font>
            </x14:dxf>
          </x14:cfRule>
          <xm:sqref>B115:L115</xm:sqref>
        </x14:conditionalFormatting>
        <x14:conditionalFormatting xmlns:xm="http://schemas.microsoft.com/office/excel/2006/main">
          <x14:cfRule type="expression" priority="16" id="{CBC6CC70-AE30-4938-8F36-2A0182AB1F01}">
            <xm:f>AND($B$1=2,'Broker Actual'!E24="-")</xm:f>
            <x14:dxf>
              <font>
                <color rgb="FF00B050"/>
              </font>
            </x14:dxf>
          </x14:cfRule>
          <xm:sqref>B122:L122 B124:L124</xm:sqref>
        </x14:conditionalFormatting>
        <x14:conditionalFormatting xmlns:xm="http://schemas.microsoft.com/office/excel/2006/main">
          <x14:cfRule type="expression" priority="47" id="{76DF88D1-7705-441D-A05D-A5A1763E0031}">
            <xm:f>AND($B$1=2,'Broker Actual'!E33="-")</xm:f>
            <x14:dxf>
              <font>
                <color rgb="FF00B050"/>
              </font>
            </x14:dxf>
          </x14:cfRule>
          <xm:sqref>B167:L168</xm:sqref>
        </x14:conditionalFormatting>
        <x14:conditionalFormatting xmlns:xm="http://schemas.microsoft.com/office/excel/2006/main">
          <x14:cfRule type="expression" priority="45" id="{AB84B977-B9CE-46C1-BC00-A0F8622E68D7}">
            <xm:f>AND($B$1=2,'Broker Actual'!E32="-")</xm:f>
            <x14:dxf>
              <font>
                <color rgb="FF00B050"/>
              </font>
            </x14:dxf>
          </x14:cfRule>
          <xm:sqref>B172:L172 B173</xm:sqref>
        </x14:conditionalFormatting>
        <x14:conditionalFormatting xmlns:xm="http://schemas.microsoft.com/office/excel/2006/main">
          <x14:cfRule type="expression" priority="78" id="{5D8955DE-4D06-4D5D-B67D-EAE2097D19D9}">
            <xm:f>AND($B$1=2,'Broker Actual'!E33="-")</xm:f>
            <x14:dxf>
              <font>
                <color rgb="FF00B050"/>
              </font>
            </x14:dxf>
          </x14:cfRule>
          <xm:sqref>B174:L174</xm:sqref>
        </x14:conditionalFormatting>
        <x14:conditionalFormatting xmlns:xm="http://schemas.microsoft.com/office/excel/2006/main">
          <x14:cfRule type="expression" priority="49" id="{BD7CEFDE-D371-4274-82EF-2AC0C29A22E2}">
            <xm:f>AND($B$1=2,'Broker Actual'!E35="-")</xm:f>
            <x14:dxf>
              <font>
                <color rgb="FF00B050"/>
              </font>
            </x14:dxf>
          </x14:cfRule>
          <xm:sqref>B182:L183</xm:sqref>
        </x14:conditionalFormatting>
        <x14:conditionalFormatting xmlns:xm="http://schemas.microsoft.com/office/excel/2006/main">
          <x14:cfRule type="expression" priority="65" id="{0B47127C-C306-4885-98C7-76417C96A9CC}">
            <xm:f>AND($B$1=2,'Broker Actual'!E39="-")</xm:f>
            <x14:dxf>
              <font>
                <color rgb="FF00B050"/>
              </font>
            </x14:dxf>
          </x14:cfRule>
          <xm:sqref>B196:L197 B198</xm:sqref>
        </x14:conditionalFormatting>
        <x14:conditionalFormatting xmlns:xm="http://schemas.microsoft.com/office/excel/2006/main">
          <x14:cfRule type="expression" priority="95" id="{845D2478-CDBF-467A-86D1-CF61605E670C}">
            <xm:f>AND($B$1=2,'Broker Actual'!E41="-")</xm:f>
            <x14:dxf>
              <font>
                <color rgb="FF00B050"/>
              </font>
            </x14:dxf>
          </x14:cfRule>
          <xm:sqref>B199:L199</xm:sqref>
        </x14:conditionalFormatting>
        <x14:conditionalFormatting xmlns:xm="http://schemas.microsoft.com/office/excel/2006/main">
          <x14:cfRule type="expression" priority="68" id="{391533AD-3A08-4C97-B3AB-80F96C01D2E3}">
            <xm:f>AND($B$1=2,'Broker Actual'!E41="-")</xm:f>
            <x14:dxf>
              <font>
                <color rgb="FF00B050"/>
              </font>
            </x14:dxf>
          </x14:cfRule>
          <xm:sqref>B202:L202 B203</xm:sqref>
        </x14:conditionalFormatting>
        <x14:conditionalFormatting xmlns:xm="http://schemas.microsoft.com/office/excel/2006/main">
          <x14:cfRule type="expression" priority="34" id="{F4E606FA-3140-4AFB-A33E-17F755AC1C2B}">
            <xm:f>AND($B$1=2,'Broker Actual'!E37="-")</xm:f>
            <x14:dxf>
              <font>
                <color rgb="FF00B050"/>
              </font>
            </x14:dxf>
          </x14:cfRule>
          <xm:sqref>B206:L206</xm:sqref>
        </x14:conditionalFormatting>
        <x14:conditionalFormatting xmlns:xm="http://schemas.microsoft.com/office/excel/2006/main">
          <x14:cfRule type="expression" priority="12" id="{372E1A45-33C0-4F08-B6B1-16125E832889}">
            <xm:f>AND($B$1=2,'Broker Actual'!E42="-")</xm:f>
            <x14:dxf>
              <font>
                <color rgb="FF00B050"/>
              </font>
            </x14:dxf>
          </x14:cfRule>
          <xm:sqref>B212:L212 B214:L215 B216:B217</xm:sqref>
        </x14:conditionalFormatting>
        <x14:conditionalFormatting xmlns:xm="http://schemas.microsoft.com/office/excel/2006/main">
          <x14:cfRule type="expression" priority="86" id="{12674B61-E32A-4B0E-9C0D-C19B7515B5E1}">
            <xm:f>AND($B$1=2,'Broker Actual'!E46="-")</xm:f>
            <x14:dxf>
              <font>
                <color rgb="FF00B050"/>
              </font>
            </x14:dxf>
          </x14:cfRule>
          <xm:sqref>B219:L220</xm:sqref>
        </x14:conditionalFormatting>
        <x14:conditionalFormatting xmlns:xm="http://schemas.microsoft.com/office/excel/2006/main">
          <x14:cfRule type="expression" priority="84" id="{D24F0CFB-E97D-4419-B3C5-C072C97B203F}">
            <xm:f>AND($B$1=2,'Broker Actual'!E46="-")</xm:f>
            <x14:dxf>
              <font>
                <color rgb="FF00B050"/>
              </font>
            </x14:dxf>
          </x14:cfRule>
          <xm:sqref>B221:L222</xm:sqref>
        </x14:conditionalFormatting>
        <x14:conditionalFormatting xmlns:xm="http://schemas.microsoft.com/office/excel/2006/main">
          <x14:cfRule type="expression" priority="9" id="{EC3A429F-CABB-4901-9054-7A19CC089868}">
            <xm:f>AND($B$1=2,'Broker Actual'!E50="-")</xm:f>
            <x14:dxf>
              <font>
                <color rgb="FF00B050"/>
              </font>
            </x14:dxf>
          </x14:cfRule>
          <xm:sqref>B254:L255</xm:sqref>
        </x14:conditionalFormatting>
        <x14:conditionalFormatting xmlns:xm="http://schemas.microsoft.com/office/excel/2006/main">
          <x14:cfRule type="expression" priority="72" id="{189A7AEC-590B-4CBA-A52A-C3CCC6E618FD}">
            <xm:f>AND($B$1=2,'Broker Actual'!E56="-")</xm:f>
            <x14:dxf>
              <font>
                <color rgb="FF00B050"/>
              </font>
            </x14:dxf>
          </x14:cfRule>
          <xm:sqref>B265:L265</xm:sqref>
        </x14:conditionalFormatting>
        <x14:conditionalFormatting xmlns:xm="http://schemas.microsoft.com/office/excel/2006/main">
          <x14:cfRule type="expression" priority="90" id="{7C7DA2F4-53CC-4182-B68F-A5806D76B307}">
            <xm:f>AND($B$1=2,'Broker Actual'!E62="-")</xm:f>
            <x14:dxf>
              <font>
                <color rgb="FF00B050"/>
              </font>
            </x14:dxf>
          </x14:cfRule>
          <xm:sqref>B272:L275 B276 B279:L279</xm:sqref>
        </x14:conditionalFormatting>
        <x14:conditionalFormatting xmlns:xm="http://schemas.microsoft.com/office/excel/2006/main">
          <x14:cfRule type="expression" priority="36" id="{A1100050-6AA9-41D1-960C-565D1C507A61}">
            <xm:f>AND($B$1=2,'Broker Actual'!E68="-")</xm:f>
            <x14:dxf>
              <font>
                <color rgb="FF00B050"/>
              </font>
            </x14:dxf>
          </x14:cfRule>
          <xm:sqref>B272:L275 B276</xm:sqref>
        </x14:conditionalFormatting>
        <x14:conditionalFormatting xmlns:xm="http://schemas.microsoft.com/office/excel/2006/main">
          <x14:cfRule type="expression" priority="22" id="{67F7159A-5BB1-4930-9403-74B79EB53DC6}">
            <xm:f>AND($B$1=2,'Broker Actual'!E68="-")</xm:f>
            <x14:dxf>
              <font>
                <color rgb="FF00B050"/>
              </font>
            </x14:dxf>
          </x14:cfRule>
          <xm:sqref>B275:L275 B276</xm:sqref>
        </x14:conditionalFormatting>
        <x14:conditionalFormatting xmlns:xm="http://schemas.microsoft.com/office/excel/2006/main">
          <x14:cfRule type="expression" priority="94" id="{7001A01B-2BD8-44C3-9B12-70D2E4C835CC}">
            <xm:f>AND($B$1=2,'Broker Actual'!E66="-")</xm:f>
            <x14:dxf>
              <font>
                <color rgb="FF00B050"/>
              </font>
            </x14:dxf>
          </x14:cfRule>
          <x14:cfRule type="expression" priority="89" id="{E9D5F5DB-B640-41D4-9A13-DE002CF563A1}">
            <xm:f>AND($B$1=2,'Broker Actual'!E71="-")</xm:f>
            <x14:dxf>
              <font>
                <color rgb="FF00B050"/>
              </font>
            </x14:dxf>
          </x14:cfRule>
          <xm:sqref>B277:L277 B278</xm:sqref>
        </x14:conditionalFormatting>
        <x14:conditionalFormatting xmlns:xm="http://schemas.microsoft.com/office/excel/2006/main">
          <x14:cfRule type="expression" priority="28" id="{43762B16-4242-4B00-8978-72151BA63604}">
            <xm:f>AND($B$1=2,'Broker Actual'!#REF!="-")</xm:f>
            <x14:dxf>
              <font>
                <color rgb="FF00B050"/>
              </font>
            </x14:dxf>
          </x14:cfRule>
          <xm:sqref>B280:L280</xm:sqref>
        </x14:conditionalFormatting>
        <x14:conditionalFormatting xmlns:xm="http://schemas.microsoft.com/office/excel/2006/main">
          <x14:cfRule type="expression" priority="26" id="{0C03CCEF-6FC0-4FF1-903E-91A024471986}">
            <xm:f>AND($B$1=2,'Broker Actual'!#REF!="-")</xm:f>
            <x14:dxf>
              <font>
                <color rgb="FF00B050"/>
              </font>
            </x14:dxf>
          </x14:cfRule>
          <x14:cfRule type="expression" priority="8" id="{D1448C41-8C7D-41F0-8AB4-D4BEC9E0D048}">
            <xm:f>AND($B$1=2,'Broker Actual'!E68="-")</xm:f>
            <x14:dxf>
              <font>
                <color rgb="FF00B050"/>
              </font>
            </x14:dxf>
          </x14:cfRule>
          <xm:sqref>B280:L281</xm:sqref>
        </x14:conditionalFormatting>
        <x14:conditionalFormatting xmlns:xm="http://schemas.microsoft.com/office/excel/2006/main">
          <x14:cfRule type="expression" priority="42" id="{5003A7D2-9CBB-456E-B19A-AAB22BADAB99}">
            <xm:f>AND($B$1=2,'Broker Actual'!E73="-")</xm:f>
            <x14:dxf>
              <font>
                <color rgb="FF00B050"/>
              </font>
            </x14:dxf>
          </x14:cfRule>
          <x14:cfRule type="expression" priority="40" id="{FCF39DAF-EC29-4C04-AE9A-20AB2A4940CB}">
            <xm:f>AND($B$1=2,'Broker Actual'!E68="-")</xm:f>
            <x14:dxf>
              <font>
                <color rgb="FF00B050"/>
              </font>
            </x14:dxf>
          </x14:cfRule>
          <xm:sqref>B281:L281</xm:sqref>
        </x14:conditionalFormatting>
        <x14:conditionalFormatting xmlns:xm="http://schemas.microsoft.com/office/excel/2006/main">
          <x14:cfRule type="expression" priority="30" id="{1FFD9ABA-9355-4E33-ABBF-69F47E5B8286}">
            <xm:f>AND($B$1=2,'Broker Actual'!E68="-")</xm:f>
            <x14:dxf>
              <font>
                <color rgb="FF00B050"/>
              </font>
            </x14:dxf>
          </x14:cfRule>
          <xm:sqref>B282:L282</xm:sqref>
        </x14:conditionalFormatting>
        <x14:conditionalFormatting xmlns:xm="http://schemas.microsoft.com/office/excel/2006/main">
          <x14:cfRule type="expression" priority="37" id="{2AF49D28-F9E2-45C6-8643-E65E67738A68}">
            <xm:f>AND($B$1=2,'Broker Actual'!E71="-")</xm:f>
            <x14:dxf>
              <font>
                <color rgb="FF00B050"/>
              </font>
            </x14:dxf>
          </x14:cfRule>
          <xm:sqref>B291:L291</xm:sqref>
        </x14:conditionalFormatting>
        <x14:conditionalFormatting xmlns:xm="http://schemas.microsoft.com/office/excel/2006/main">
          <x14:cfRule type="expression" priority="5" id="{E2722CE1-1B51-4AD9-91A6-C1B812D7CE6A}">
            <xm:f>AND($B$1=2,'Broker Actual'!E72="-")</xm:f>
            <x14:dxf>
              <font>
                <color rgb="FF00B050"/>
              </font>
            </x14:dxf>
          </x14:cfRule>
          <xm:sqref>B293:L296 B299:L302</xm:sqref>
        </x14:conditionalFormatting>
        <x14:conditionalFormatting xmlns:xm="http://schemas.microsoft.com/office/excel/2006/main">
          <x14:cfRule type="expression" priority="20" id="{E45332FC-0BF3-4A01-91F8-0432568DF33C}">
            <xm:f>AND($B$1=2,'Broker Actual'!L68="-")</xm:f>
            <x14:dxf>
              <font>
                <color rgb="FF00B050"/>
              </font>
            </x14:dxf>
          </x14:cfRule>
          <xm:sqref>I273:L275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DE60-9A3C-452B-9CF5-61D187661DE3}">
  <dimension ref="A2:AQ65"/>
  <sheetViews>
    <sheetView zoomScale="85" zoomScaleNormal="85" workbookViewId="0">
      <pane xSplit="2" ySplit="2" topLeftCell="Z3" activePane="bottomRight" state="frozen"/>
      <selection pane="topRight" activeCell="C1" sqref="C1"/>
      <selection pane="bottomLeft" activeCell="A3" sqref="A3"/>
      <selection pane="bottomRight" activeCell="AO8" sqref="AO8"/>
    </sheetView>
  </sheetViews>
  <sheetFormatPr baseColWidth="10" defaultColWidth="9.19921875" defaultRowHeight="14" outlineLevelRow="1" x14ac:dyDescent="0.15"/>
  <cols>
    <col min="1" max="1" width="25.796875" style="114" bestFit="1" customWidth="1"/>
    <col min="2" max="2" width="15" style="114" hidden="1" customWidth="1"/>
    <col min="3" max="3" width="10.19921875" style="114" hidden="1" customWidth="1"/>
    <col min="4" max="4" width="6.19921875" style="114" hidden="1" customWidth="1"/>
    <col min="5" max="5" width="13.19921875" style="114" hidden="1" customWidth="1"/>
    <col min="6" max="6" width="4.796875" style="114" hidden="1" customWidth="1"/>
    <col min="7" max="7" width="8.19921875" style="114" hidden="1" customWidth="1"/>
    <col min="8" max="11" width="9.19921875" style="114" bestFit="1" customWidth="1"/>
    <col min="12" max="12" width="12.796875" style="114" bestFit="1" customWidth="1"/>
    <col min="13" max="19" width="9.19921875" style="114" bestFit="1" customWidth="1"/>
    <col min="20" max="20" width="11.796875" style="114" bestFit="1" customWidth="1"/>
    <col min="21" max="23" width="9.19921875" style="114" bestFit="1" customWidth="1"/>
    <col min="24" max="24" width="12.59765625" style="114" bestFit="1" customWidth="1"/>
    <col min="25" max="26" width="13" style="114" bestFit="1" customWidth="1"/>
    <col min="27" max="27" width="12.19921875" style="114" bestFit="1" customWidth="1"/>
    <col min="28" max="28" width="13" style="114" bestFit="1" customWidth="1"/>
    <col min="29" max="31" width="11" style="114" bestFit="1" customWidth="1"/>
    <col min="32" max="35" width="9.19921875" style="114"/>
    <col min="36" max="36" width="18.796875" style="114" bestFit="1" customWidth="1"/>
    <col min="37" max="40" width="9.19921875" style="114" bestFit="1" customWidth="1"/>
    <col min="41" max="41" width="9.796875" style="114" bestFit="1" customWidth="1"/>
    <col min="42" max="42" width="10" style="114" bestFit="1" customWidth="1"/>
    <col min="43" max="16384" width="9.19921875" style="114"/>
  </cols>
  <sheetData>
    <row r="2" spans="1:43" s="316" customFormat="1" x14ac:dyDescent="0.15">
      <c r="A2" s="314"/>
      <c r="B2" s="314"/>
      <c r="C2" s="314"/>
      <c r="D2" s="315" t="s">
        <v>347</v>
      </c>
      <c r="E2" s="315" t="s">
        <v>348</v>
      </c>
      <c r="F2" s="315" t="s">
        <v>349</v>
      </c>
      <c r="G2" s="315" t="s">
        <v>350</v>
      </c>
      <c r="H2" s="315" t="s">
        <v>351</v>
      </c>
      <c r="I2" s="315" t="s">
        <v>352</v>
      </c>
      <c r="J2" s="315" t="s">
        <v>353</v>
      </c>
      <c r="K2" s="315" t="s">
        <v>354</v>
      </c>
      <c r="L2" s="315" t="s">
        <v>355</v>
      </c>
      <c r="M2" s="315" t="s">
        <v>356</v>
      </c>
      <c r="N2" s="315" t="s">
        <v>357</v>
      </c>
      <c r="O2" s="315" t="s">
        <v>358</v>
      </c>
      <c r="P2" s="315" t="s">
        <v>359</v>
      </c>
      <c r="Q2" s="315" t="s">
        <v>360</v>
      </c>
      <c r="R2" s="315" t="s">
        <v>361</v>
      </c>
      <c r="S2" s="315" t="s">
        <v>362</v>
      </c>
      <c r="T2" s="315" t="s">
        <v>363</v>
      </c>
      <c r="U2" s="315" t="s">
        <v>364</v>
      </c>
      <c r="V2" s="315" t="s">
        <v>365</v>
      </c>
      <c r="W2" s="315" t="s">
        <v>366</v>
      </c>
      <c r="X2" s="315" t="s">
        <v>367</v>
      </c>
      <c r="Y2" s="315" t="s">
        <v>368</v>
      </c>
      <c r="Z2" s="315" t="s">
        <v>542</v>
      </c>
      <c r="AA2" s="315" t="s">
        <v>370</v>
      </c>
      <c r="AB2" s="315" t="s">
        <v>537</v>
      </c>
      <c r="AC2" s="315" t="s">
        <v>538</v>
      </c>
      <c r="AD2" s="315" t="s">
        <v>539</v>
      </c>
      <c r="AE2" s="315" t="s">
        <v>540</v>
      </c>
      <c r="AJ2" s="317"/>
      <c r="AK2" s="317">
        <v>2019</v>
      </c>
      <c r="AL2" s="317">
        <v>2020</v>
      </c>
      <c r="AM2" s="317">
        <v>2021</v>
      </c>
      <c r="AN2" s="317">
        <v>2022</v>
      </c>
      <c r="AO2" s="331" t="s">
        <v>397</v>
      </c>
      <c r="AP2" s="331" t="s">
        <v>371</v>
      </c>
      <c r="AQ2" s="331" t="s">
        <v>372</v>
      </c>
    </row>
    <row r="3" spans="1:43" x14ac:dyDescent="0.15">
      <c r="I3" s="310"/>
      <c r="J3" s="310"/>
      <c r="K3" s="310"/>
      <c r="L3" s="311"/>
      <c r="M3" s="310"/>
      <c r="N3" s="310"/>
      <c r="O3" s="310"/>
      <c r="P3" s="310"/>
      <c r="Q3" s="310"/>
      <c r="R3" s="310"/>
      <c r="S3" s="310"/>
      <c r="T3" s="311"/>
      <c r="U3" s="310"/>
      <c r="V3" s="310"/>
      <c r="W3" s="310"/>
      <c r="X3" s="311"/>
      <c r="Y3" s="310"/>
      <c r="Z3" s="311"/>
      <c r="AA3" s="310"/>
      <c r="AB3" s="311"/>
      <c r="AC3" s="310"/>
      <c r="AD3" s="311"/>
      <c r="AE3" s="310"/>
      <c r="AF3" s="310"/>
    </row>
    <row r="4" spans="1:43" s="316" customFormat="1" x14ac:dyDescent="0.15">
      <c r="A4" s="318" t="s">
        <v>373</v>
      </c>
      <c r="I4" s="319"/>
      <c r="J4" s="319"/>
      <c r="K4" s="319"/>
      <c r="L4" s="319"/>
      <c r="M4" s="319"/>
      <c r="N4" s="319"/>
      <c r="O4" s="319"/>
      <c r="P4" s="319"/>
      <c r="Q4" s="319"/>
      <c r="R4" s="319"/>
      <c r="S4" s="319"/>
      <c r="T4" s="319"/>
      <c r="U4" s="319"/>
      <c r="V4" s="319"/>
      <c r="W4" s="319"/>
      <c r="X4" s="319"/>
      <c r="Y4" s="319"/>
      <c r="Z4" s="319"/>
      <c r="AA4" s="319"/>
      <c r="AB4" s="319"/>
      <c r="AC4" s="319"/>
      <c r="AD4" s="319"/>
      <c r="AE4" s="319"/>
      <c r="AF4" s="319"/>
    </row>
    <row r="5" spans="1:43" s="321" customFormat="1" x14ac:dyDescent="0.15">
      <c r="A5" s="320" t="s">
        <v>374</v>
      </c>
      <c r="G5" s="220">
        <v>1435.1</v>
      </c>
      <c r="H5" s="220">
        <v>1501.9</v>
      </c>
      <c r="I5" s="322">
        <v>1504.5</v>
      </c>
      <c r="J5" s="322">
        <v>1501.9</v>
      </c>
      <c r="K5" s="322">
        <v>1508.3</v>
      </c>
      <c r="L5" s="322">
        <v>1527.7</v>
      </c>
      <c r="M5" s="322">
        <v>1522.7</v>
      </c>
      <c r="N5" s="322">
        <v>1483.4</v>
      </c>
      <c r="O5" s="322">
        <v>1485.1</v>
      </c>
      <c r="P5" s="322">
        <v>1525.8</v>
      </c>
      <c r="Q5" s="322">
        <v>1522.1</v>
      </c>
      <c r="R5" s="322">
        <v>1500.8</v>
      </c>
      <c r="S5" s="322">
        <v>1529.3</v>
      </c>
      <c r="T5" s="322">
        <v>1544.9</v>
      </c>
      <c r="U5" s="322">
        <v>1572.3</v>
      </c>
      <c r="V5" s="322">
        <v>1559.6</v>
      </c>
      <c r="W5" s="322">
        <v>1581.5</v>
      </c>
      <c r="X5" s="323">
        <v>1609.6</v>
      </c>
      <c r="Y5" s="323">
        <v>1641.4</v>
      </c>
      <c r="Z5" s="323">
        <v>1657.7</v>
      </c>
      <c r="AA5" s="324">
        <f>AA17+AA34+AA51</f>
        <v>1681</v>
      </c>
      <c r="AB5" s="324">
        <f t="shared" ref="AB5:AE5" si="0">AB17+AB34+AB51</f>
        <v>1851.8430000000003</v>
      </c>
      <c r="AC5" s="324">
        <f t="shared" si="0"/>
        <v>1851.8430000000003</v>
      </c>
      <c r="AD5" s="324">
        <f t="shared" si="0"/>
        <v>1851.8430000000003</v>
      </c>
      <c r="AE5" s="324">
        <f t="shared" si="0"/>
        <v>1851.8430000000003</v>
      </c>
      <c r="AF5" s="325"/>
      <c r="AH5" s="316"/>
      <c r="AI5" s="316"/>
      <c r="AJ5" s="316" t="s">
        <v>535</v>
      </c>
      <c r="AK5" s="325">
        <f>SUM(H5:K5)</f>
        <v>6016.6</v>
      </c>
      <c r="AL5" s="325">
        <f>SUM(L5:O5)</f>
        <v>6018.9</v>
      </c>
      <c r="AM5" s="325">
        <f>SUM(P5:S5)</f>
        <v>6078</v>
      </c>
      <c r="AN5" s="325">
        <f>SUM(T5:W5)</f>
        <v>6258.2999999999993</v>
      </c>
      <c r="AO5" s="325">
        <f>SUM(X5:AA5)</f>
        <v>6589.7</v>
      </c>
      <c r="AP5" s="325">
        <f>SUM(AB5:AE5)</f>
        <v>7407.3720000000012</v>
      </c>
      <c r="AQ5" s="325">
        <f>AP5*(1+AQ6)</f>
        <v>7629.5931600000013</v>
      </c>
    </row>
    <row r="6" spans="1:43" s="317" customFormat="1" ht="15" outlineLevel="1" x14ac:dyDescent="0.15">
      <c r="A6" s="326" t="s">
        <v>387</v>
      </c>
      <c r="B6" s="327"/>
      <c r="C6" s="327"/>
      <c r="D6" s="327"/>
      <c r="E6" s="327"/>
      <c r="F6" s="327"/>
      <c r="G6" s="328"/>
      <c r="H6" s="329"/>
      <c r="I6" s="330">
        <f t="shared" ref="I6:AE6" si="1">(I5-H5)/H5</f>
        <v>1.7311405552965637E-3</v>
      </c>
      <c r="J6" s="330">
        <f t="shared" si="1"/>
        <v>-1.7281488866732529E-3</v>
      </c>
      <c r="K6" s="330">
        <f t="shared" si="1"/>
        <v>4.2612690591915994E-3</v>
      </c>
      <c r="L6" s="330">
        <f t="shared" si="1"/>
        <v>1.2862162699728232E-2</v>
      </c>
      <c r="M6" s="330">
        <f t="shared" si="1"/>
        <v>-3.272893892779996E-3</v>
      </c>
      <c r="N6" s="330">
        <f t="shared" si="1"/>
        <v>-2.5809417482104125E-2</v>
      </c>
      <c r="O6" s="330">
        <f t="shared" si="1"/>
        <v>1.1460159093972077E-3</v>
      </c>
      <c r="P6" s="330">
        <f t="shared" si="1"/>
        <v>2.7405561915022591E-2</v>
      </c>
      <c r="Q6" s="330">
        <f t="shared" si="1"/>
        <v>-2.4249573993970677E-3</v>
      </c>
      <c r="R6" s="330">
        <f t="shared" si="1"/>
        <v>-1.3993824321660834E-2</v>
      </c>
      <c r="S6" s="330">
        <f t="shared" si="1"/>
        <v>1.8989872068230277E-2</v>
      </c>
      <c r="T6" s="330">
        <f t="shared" si="1"/>
        <v>1.0200745439089869E-2</v>
      </c>
      <c r="U6" s="330">
        <f t="shared" si="1"/>
        <v>1.7735775778367442E-2</v>
      </c>
      <c r="V6" s="330">
        <f t="shared" si="1"/>
        <v>-8.0773389302296293E-3</v>
      </c>
      <c r="W6" s="330">
        <f t="shared" si="1"/>
        <v>1.4042062067196777E-2</v>
      </c>
      <c r="X6" s="330">
        <f t="shared" si="1"/>
        <v>1.7767941827379011E-2</v>
      </c>
      <c r="Y6" s="330">
        <f t="shared" si="1"/>
        <v>1.9756461232604487E-2</v>
      </c>
      <c r="Z6" s="330">
        <f t="shared" si="1"/>
        <v>9.9305470939441663E-3</v>
      </c>
      <c r="AA6" s="330">
        <f t="shared" si="1"/>
        <v>1.4055619231465255E-2</v>
      </c>
      <c r="AB6" s="330">
        <f t="shared" si="1"/>
        <v>0.10163176680547312</v>
      </c>
      <c r="AC6" s="330">
        <f t="shared" si="1"/>
        <v>0</v>
      </c>
      <c r="AD6" s="330">
        <f t="shared" si="1"/>
        <v>0</v>
      </c>
      <c r="AE6" s="330">
        <f t="shared" si="1"/>
        <v>0</v>
      </c>
      <c r="AF6" s="331"/>
      <c r="AH6" s="316"/>
      <c r="AI6" s="316"/>
      <c r="AJ6" s="316" t="s">
        <v>536</v>
      </c>
      <c r="AK6" s="325"/>
      <c r="AL6" s="700">
        <f>(AL5-AK5)/AK5</f>
        <v>3.8227570388579466E-4</v>
      </c>
      <c r="AM6" s="700">
        <f>(AM5-AL5)/AL5</f>
        <v>9.8190699297214384E-3</v>
      </c>
      <c r="AN6" s="700">
        <f>(AN5-AM5)/AM5</f>
        <v>2.966436327739376E-2</v>
      </c>
      <c r="AO6" s="700">
        <f>(AO5-AN5)/AN5</f>
        <v>5.2953677516258499E-2</v>
      </c>
      <c r="AP6" s="700">
        <f>(AP5-AO5)/AO5</f>
        <v>0.12408334218553219</v>
      </c>
      <c r="AQ6" s="701">
        <v>0.03</v>
      </c>
    </row>
    <row r="7" spans="1:43" s="317" customFormat="1" ht="15" outlineLevel="1" x14ac:dyDescent="0.15">
      <c r="A7" s="326" t="s">
        <v>532</v>
      </c>
      <c r="B7" s="327"/>
      <c r="C7" s="327"/>
      <c r="D7" s="327"/>
      <c r="E7" s="327"/>
      <c r="F7" s="327"/>
      <c r="G7" s="328"/>
      <c r="H7" s="333"/>
      <c r="I7" s="334"/>
      <c r="J7" s="334"/>
      <c r="K7" s="334"/>
      <c r="L7" s="334"/>
      <c r="M7" s="334"/>
      <c r="N7" s="334"/>
      <c r="O7" s="334"/>
      <c r="P7" s="334"/>
      <c r="Q7" s="334"/>
      <c r="R7" s="334"/>
      <c r="S7" s="334"/>
      <c r="T7" s="334"/>
      <c r="U7" s="334"/>
      <c r="V7" s="334"/>
      <c r="W7" s="334"/>
      <c r="X7" s="335">
        <v>38000000</v>
      </c>
      <c r="Y7" s="335">
        <v>38000000</v>
      </c>
      <c r="Z7" s="335">
        <v>38000000</v>
      </c>
      <c r="AA7" s="335">
        <f>AA20+AA37+AA54</f>
        <v>38534113.530795678</v>
      </c>
      <c r="AB7" s="335">
        <f t="shared" ref="AB7:AE7" si="2">AB20+AB37+AB54</f>
        <v>40428955.782107741</v>
      </c>
      <c r="AC7" s="335">
        <f t="shared" si="2"/>
        <v>40428955.782107741</v>
      </c>
      <c r="AD7" s="335">
        <f t="shared" si="2"/>
        <v>40428955.782107741</v>
      </c>
      <c r="AE7" s="335">
        <f t="shared" si="2"/>
        <v>40428955.782107741</v>
      </c>
      <c r="AF7" s="331"/>
      <c r="AH7" s="316"/>
      <c r="AI7" s="316"/>
      <c r="AJ7" s="316"/>
      <c r="AK7" s="325"/>
      <c r="AL7" s="325"/>
      <c r="AM7" s="325"/>
      <c r="AN7" s="325"/>
      <c r="AO7" s="336"/>
      <c r="AP7" s="383"/>
      <c r="AQ7" s="331"/>
    </row>
    <row r="8" spans="1:43" s="317" customFormat="1" ht="30" outlineLevel="1" x14ac:dyDescent="0.15">
      <c r="A8" s="326" t="s">
        <v>534</v>
      </c>
      <c r="B8" s="327"/>
      <c r="C8" s="327"/>
      <c r="D8" s="327"/>
      <c r="E8" s="327"/>
      <c r="F8" s="327"/>
      <c r="G8" s="328"/>
      <c r="H8" s="333"/>
      <c r="I8" s="334"/>
      <c r="J8" s="334"/>
      <c r="K8" s="334"/>
      <c r="L8" s="334"/>
      <c r="M8" s="334"/>
      <c r="N8" s="334"/>
      <c r="O8" s="334"/>
      <c r="P8" s="334"/>
      <c r="Q8" s="334"/>
      <c r="R8" s="334"/>
      <c r="S8" s="334"/>
      <c r="T8" s="334"/>
      <c r="U8" s="334"/>
      <c r="V8" s="334"/>
      <c r="W8" s="334"/>
      <c r="X8" s="337">
        <f>(X5*1000000)/X7</f>
        <v>42.357894736842105</v>
      </c>
      <c r="Y8" s="337">
        <f t="shared" ref="Y8:AE8" si="3">(Y5*1000000)/Y7</f>
        <v>43.194736842105264</v>
      </c>
      <c r="Z8" s="337">
        <f t="shared" si="3"/>
        <v>43.623684210526314</v>
      </c>
      <c r="AA8" s="337">
        <f t="shared" si="3"/>
        <v>43.623684210526321</v>
      </c>
      <c r="AB8" s="337">
        <f t="shared" si="3"/>
        <v>45.804868421052639</v>
      </c>
      <c r="AC8" s="337">
        <f t="shared" si="3"/>
        <v>45.804868421052639</v>
      </c>
      <c r="AD8" s="337">
        <f t="shared" si="3"/>
        <v>45.804868421052639</v>
      </c>
      <c r="AE8" s="337">
        <f t="shared" si="3"/>
        <v>45.804868421052639</v>
      </c>
      <c r="AF8" s="331"/>
      <c r="AH8" s="316"/>
      <c r="AI8" s="316"/>
      <c r="AJ8" s="316"/>
      <c r="AK8" s="325"/>
      <c r="AL8" s="325"/>
      <c r="AM8" s="325"/>
      <c r="AN8" s="325"/>
      <c r="AO8" s="749">
        <f>(AP5-AP8)/AP8</f>
        <v>6.9193418013856992E-2</v>
      </c>
      <c r="AP8" s="384">
        <f>6928</f>
        <v>6928</v>
      </c>
      <c r="AQ8" s="331"/>
    </row>
    <row r="9" spans="1:43" s="317" customFormat="1" ht="15" outlineLevel="1" x14ac:dyDescent="0.15">
      <c r="A9" s="326" t="s">
        <v>387</v>
      </c>
      <c r="B9" s="327"/>
      <c r="C9" s="327"/>
      <c r="D9" s="327"/>
      <c r="E9" s="327"/>
      <c r="F9" s="327"/>
      <c r="G9" s="328"/>
      <c r="H9" s="329"/>
      <c r="I9" s="330"/>
      <c r="J9" s="330"/>
      <c r="K9" s="330"/>
      <c r="L9" s="330"/>
      <c r="M9" s="330"/>
      <c r="N9" s="330"/>
      <c r="O9" s="330"/>
      <c r="P9" s="330"/>
      <c r="Q9" s="330"/>
      <c r="R9" s="330"/>
      <c r="S9" s="330"/>
      <c r="T9" s="330"/>
      <c r="U9" s="330"/>
      <c r="V9" s="330"/>
      <c r="W9" s="330"/>
      <c r="X9" s="330"/>
      <c r="Y9" s="330">
        <f>(Y8-X8)/X8</f>
        <v>1.9756461232604397E-2</v>
      </c>
      <c r="Z9" s="330">
        <f>(Z8-Y8)/Y8</f>
        <v>9.9305470939441143E-3</v>
      </c>
      <c r="AA9" s="330">
        <f>(AA8-Z8)/Z8</f>
        <v>1.6288003835967792E-16</v>
      </c>
      <c r="AB9" s="330">
        <v>0.05</v>
      </c>
      <c r="AC9" s="330">
        <v>0.01</v>
      </c>
      <c r="AD9" s="330">
        <f>(AD8-AC8)/AC8</f>
        <v>0</v>
      </c>
      <c r="AE9" s="330">
        <f>(AE8-AD8)/AD8</f>
        <v>0</v>
      </c>
      <c r="AF9" s="331"/>
      <c r="AH9" s="316"/>
      <c r="AI9" s="316"/>
      <c r="AJ9" s="316"/>
      <c r="AK9" s="325"/>
      <c r="AL9" s="325"/>
      <c r="AM9" s="325"/>
      <c r="AN9" s="325"/>
      <c r="AO9" s="325"/>
      <c r="AP9" s="385"/>
      <c r="AQ9" s="331"/>
    </row>
    <row r="10" spans="1:43" s="321" customFormat="1" x14ac:dyDescent="0.15">
      <c r="A10" s="320" t="s">
        <v>375</v>
      </c>
      <c r="G10" s="220"/>
      <c r="H10" s="220">
        <v>945.48840000000018</v>
      </c>
      <c r="I10" s="322">
        <v>987.39490000000012</v>
      </c>
      <c r="J10" s="322">
        <v>985.14679999999998</v>
      </c>
      <c r="K10" s="322">
        <v>977.91239999999993</v>
      </c>
      <c r="L10" s="322">
        <v>942.26869999999997</v>
      </c>
      <c r="M10" s="322">
        <v>1030.2759999999998</v>
      </c>
      <c r="N10" s="322">
        <v>657.36390000000006</v>
      </c>
      <c r="O10" s="322">
        <v>0</v>
      </c>
      <c r="P10" s="322">
        <v>1107.1018999999999</v>
      </c>
      <c r="Q10" s="322">
        <v>1064.9951999999998</v>
      </c>
      <c r="R10" s="322">
        <v>1153.4322</v>
      </c>
      <c r="S10" s="322">
        <v>1149.9971</v>
      </c>
      <c r="T10" s="322">
        <v>1069.9816000000001</v>
      </c>
      <c r="U10" s="322">
        <v>961.30770000000007</v>
      </c>
      <c r="V10" s="322">
        <v>972.08489999999983</v>
      </c>
      <c r="W10" s="322">
        <v>1005.0559000000001</v>
      </c>
      <c r="X10" s="323">
        <f>X24+X41+X58</f>
        <v>1011</v>
      </c>
      <c r="Y10" s="323">
        <f t="shared" ref="Y10:AE10" si="4">Y24+Y41+Y58</f>
        <v>1006</v>
      </c>
      <c r="Z10" s="323">
        <f t="shared" si="4"/>
        <v>1007.9</v>
      </c>
      <c r="AA10" s="323">
        <f>AA24+AA41+AA58</f>
        <v>1007.9</v>
      </c>
      <c r="AB10" s="323">
        <f>AB24+AB41+AB58</f>
        <v>1089.72065</v>
      </c>
      <c r="AC10" s="323">
        <f t="shared" si="4"/>
        <v>1089.72065</v>
      </c>
      <c r="AD10" s="323">
        <f t="shared" si="4"/>
        <v>1089.72065</v>
      </c>
      <c r="AE10" s="323">
        <f t="shared" si="4"/>
        <v>1089.72065</v>
      </c>
      <c r="AF10" s="325"/>
      <c r="AJ10" s="321" t="s">
        <v>382</v>
      </c>
      <c r="AK10" s="325">
        <f>SUM(H10:K10)</f>
        <v>3895.9425000000001</v>
      </c>
      <c r="AL10" s="325">
        <f>SUM(L10:O10)</f>
        <v>2629.9085999999998</v>
      </c>
      <c r="AM10" s="325">
        <f>SUM(P10:S10)</f>
        <v>4475.5264000000006</v>
      </c>
      <c r="AN10" s="325">
        <f>SUM(T10:W10)</f>
        <v>4008.4301000000005</v>
      </c>
      <c r="AO10" s="325">
        <f>SUM(X10:AA10)</f>
        <v>4032.8</v>
      </c>
      <c r="AP10" s="324">
        <f>SUM(AB10:AE10)</f>
        <v>4358.8825999999999</v>
      </c>
      <c r="AQ10" s="325">
        <f>AQ12*AQ5</f>
        <v>4387.0160670000005</v>
      </c>
    </row>
    <row r="11" spans="1:43" s="321" customFormat="1" x14ac:dyDescent="0.15">
      <c r="A11" s="320" t="s">
        <v>376</v>
      </c>
      <c r="G11" s="220"/>
      <c r="H11" s="220">
        <v>307.71159999999992</v>
      </c>
      <c r="I11" s="322">
        <v>264.80509999999987</v>
      </c>
      <c r="J11" s="322">
        <v>262.45320000000009</v>
      </c>
      <c r="K11" s="322">
        <v>268.98760000000004</v>
      </c>
      <c r="L11" s="322">
        <v>322.33130000000006</v>
      </c>
      <c r="M11" s="322">
        <v>230.62400000000019</v>
      </c>
      <c r="N11" s="322">
        <v>594.13610000000006</v>
      </c>
      <c r="O11" s="322">
        <v>1296.8999999999999</v>
      </c>
      <c r="P11" s="322">
        <v>275.19810000000007</v>
      </c>
      <c r="Q11" s="322">
        <v>341.40480000000008</v>
      </c>
      <c r="R11" s="322">
        <v>168.06779999999998</v>
      </c>
      <c r="S11" s="322">
        <v>290.80289999999991</v>
      </c>
      <c r="T11" s="322">
        <v>393.51840000000004</v>
      </c>
      <c r="U11" s="322">
        <v>439.39229999999986</v>
      </c>
      <c r="V11" s="322">
        <v>292.1151000000001</v>
      </c>
      <c r="W11" s="322">
        <v>301.44409999999993</v>
      </c>
      <c r="X11" s="323">
        <f>X27+X44+X61</f>
        <v>357.50099999999998</v>
      </c>
      <c r="Y11" s="323">
        <f t="shared" ref="Y11:AE11" si="5">Y27+Y44+Y61</f>
        <v>365.29999999999995</v>
      </c>
      <c r="Z11" s="323">
        <f t="shared" si="5"/>
        <v>384.87100000000004</v>
      </c>
      <c r="AA11" s="323">
        <f t="shared" si="5"/>
        <v>379.43500000000006</v>
      </c>
      <c r="AB11" s="323">
        <f t="shared" si="5"/>
        <v>399.16632000000004</v>
      </c>
      <c r="AC11" s="323">
        <f t="shared" si="5"/>
        <v>399.16632000000004</v>
      </c>
      <c r="AD11" s="323">
        <f t="shared" si="5"/>
        <v>399.16632000000004</v>
      </c>
      <c r="AE11" s="323">
        <f t="shared" si="5"/>
        <v>399.16632000000004</v>
      </c>
      <c r="AF11" s="325"/>
      <c r="AJ11" s="321" t="s">
        <v>383</v>
      </c>
      <c r="AK11" s="325">
        <f>SUM(H11:K11)</f>
        <v>1103.9575</v>
      </c>
      <c r="AL11" s="325">
        <f>SUM(L11:O11)</f>
        <v>2443.9913999999999</v>
      </c>
      <c r="AM11" s="325">
        <f>SUM(P11:S11)</f>
        <v>1075.4736</v>
      </c>
      <c r="AN11" s="325">
        <f>SUM(T11:W11)</f>
        <v>1426.4698999999998</v>
      </c>
      <c r="AO11" s="325">
        <f>SUM(X11:AA11)</f>
        <v>1487.107</v>
      </c>
      <c r="AP11" s="325">
        <f>SUM(AB11:AE11)</f>
        <v>1596.6652800000002</v>
      </c>
      <c r="AQ11" s="325">
        <f>AQ13*AQ5</f>
        <v>1678.5104952000004</v>
      </c>
    </row>
    <row r="12" spans="1:43" s="316" customFormat="1" x14ac:dyDescent="0.15">
      <c r="A12" s="338" t="s">
        <v>377</v>
      </c>
      <c r="D12" s="339" t="s">
        <v>378</v>
      </c>
      <c r="G12" s="219"/>
      <c r="H12" s="340">
        <v>0.6295281976163527</v>
      </c>
      <c r="I12" s="341">
        <v>0.65629438351611835</v>
      </c>
      <c r="J12" s="341">
        <v>0.6559336840002663</v>
      </c>
      <c r="K12" s="341">
        <v>0.6483540409732812</v>
      </c>
      <c r="L12" s="341">
        <v>0.61678909471754917</v>
      </c>
      <c r="M12" s="341">
        <v>0.67661128259013581</v>
      </c>
      <c r="N12" s="341">
        <v>0.44314675744910342</v>
      </c>
      <c r="O12" s="341">
        <v>0</v>
      </c>
      <c r="P12" s="341">
        <v>0.72558782278149159</v>
      </c>
      <c r="Q12" s="341">
        <v>0.6996880625451678</v>
      </c>
      <c r="R12" s="341">
        <v>0.76854490938166309</v>
      </c>
      <c r="S12" s="341">
        <v>0.75197613287124832</v>
      </c>
      <c r="T12" s="341">
        <v>0.69258955272185907</v>
      </c>
      <c r="U12" s="341">
        <v>0.6114022133180691</v>
      </c>
      <c r="V12" s="341">
        <v>0.62329116440112842</v>
      </c>
      <c r="W12" s="341">
        <v>0.63550799873537789</v>
      </c>
      <c r="X12" s="342">
        <f>X10/X5</f>
        <v>0.62810636182902591</v>
      </c>
      <c r="Y12" s="342">
        <f t="shared" ref="Y12:AE12" si="6">Y10/Y5</f>
        <v>0.61289143414158642</v>
      </c>
      <c r="Z12" s="342">
        <f t="shared" si="6"/>
        <v>0.6080110997164746</v>
      </c>
      <c r="AA12" s="342">
        <f t="shared" si="6"/>
        <v>0.59958358120166566</v>
      </c>
      <c r="AB12" s="342">
        <f t="shared" si="6"/>
        <v>0.58845196380038689</v>
      </c>
      <c r="AC12" s="342">
        <f t="shared" si="6"/>
        <v>0.58845196380038689</v>
      </c>
      <c r="AD12" s="342">
        <f t="shared" si="6"/>
        <v>0.58845196380038689</v>
      </c>
      <c r="AE12" s="342">
        <f t="shared" si="6"/>
        <v>0.58845196380038689</v>
      </c>
      <c r="AF12" s="319"/>
      <c r="AH12" s="321"/>
      <c r="AI12" s="321"/>
      <c r="AJ12" s="321" t="s">
        <v>273</v>
      </c>
      <c r="AK12" s="354">
        <f>AK10/AK5</f>
        <v>0.64753224412458865</v>
      </c>
      <c r="AL12" s="354">
        <f t="shared" ref="AL12:AP12" si="7">AL10/AL5</f>
        <v>0.43694173353935101</v>
      </c>
      <c r="AM12" s="354">
        <f t="shared" si="7"/>
        <v>0.73634853570253378</v>
      </c>
      <c r="AN12" s="354">
        <f t="shared" si="7"/>
        <v>0.64049823434479025</v>
      </c>
      <c r="AO12" s="354">
        <f t="shared" si="7"/>
        <v>0.61198537110945872</v>
      </c>
      <c r="AP12" s="354">
        <f t="shared" si="7"/>
        <v>0.58845196380038689</v>
      </c>
      <c r="AQ12" s="382">
        <v>0.57499999999999996</v>
      </c>
    </row>
    <row r="13" spans="1:43" s="344" customFormat="1" x14ac:dyDescent="0.15">
      <c r="A13" s="343" t="s">
        <v>379</v>
      </c>
      <c r="H13" s="345">
        <v>248.7</v>
      </c>
      <c r="I13" s="346">
        <v>252.3</v>
      </c>
      <c r="J13" s="346">
        <v>254.3</v>
      </c>
      <c r="K13" s="346">
        <v>261.39999999999998</v>
      </c>
      <c r="L13" s="346">
        <v>263.10000000000002</v>
      </c>
      <c r="M13" s="346">
        <v>261.8</v>
      </c>
      <c r="N13" s="346">
        <v>231.9</v>
      </c>
      <c r="O13" s="346">
        <v>188.2</v>
      </c>
      <c r="P13" s="346">
        <v>143.5</v>
      </c>
      <c r="Q13" s="346">
        <v>115.7</v>
      </c>
      <c r="R13" s="346">
        <v>179.3</v>
      </c>
      <c r="S13" s="346">
        <v>88.5</v>
      </c>
      <c r="T13" s="346">
        <v>81.400000000000006</v>
      </c>
      <c r="U13" s="346">
        <v>171.6</v>
      </c>
      <c r="V13" s="346">
        <v>295.39999999999998</v>
      </c>
      <c r="W13" s="346">
        <v>275</v>
      </c>
      <c r="X13" s="347">
        <f>X5-X10-X11</f>
        <v>241.09899999999993</v>
      </c>
      <c r="Y13" s="347">
        <f t="shared" ref="Y13:AE13" si="8">Y5-Y10-Y11</f>
        <v>270.10000000000014</v>
      </c>
      <c r="Z13" s="347">
        <f t="shared" si="8"/>
        <v>264.92900000000003</v>
      </c>
      <c r="AA13" s="347">
        <f t="shared" si="8"/>
        <v>293.66499999999996</v>
      </c>
      <c r="AB13" s="347">
        <f t="shared" si="8"/>
        <v>362.95603000000028</v>
      </c>
      <c r="AC13" s="347">
        <f t="shared" si="8"/>
        <v>362.95603000000028</v>
      </c>
      <c r="AD13" s="347">
        <f t="shared" si="8"/>
        <v>362.95603000000028</v>
      </c>
      <c r="AE13" s="347">
        <f t="shared" si="8"/>
        <v>362.95603000000028</v>
      </c>
      <c r="AF13" s="348"/>
      <c r="AH13" s="316"/>
      <c r="AI13" s="316"/>
      <c r="AJ13" s="321" t="s">
        <v>384</v>
      </c>
      <c r="AK13" s="354">
        <f>AK11/AK5</f>
        <v>0.18348527407505899</v>
      </c>
      <c r="AL13" s="354">
        <f t="shared" ref="AL13:AP13" si="9">AL11/AL5</f>
        <v>0.40605283357424116</v>
      </c>
      <c r="AM13" s="354">
        <f t="shared" si="9"/>
        <v>0.17694531095755184</v>
      </c>
      <c r="AN13" s="354">
        <f t="shared" si="9"/>
        <v>0.22793248965373983</v>
      </c>
      <c r="AO13" s="354">
        <f t="shared" si="9"/>
        <v>0.22567142662033174</v>
      </c>
      <c r="AP13" s="354">
        <f t="shared" si="9"/>
        <v>0.21555084313303016</v>
      </c>
      <c r="AQ13" s="382">
        <v>0.22</v>
      </c>
    </row>
    <row r="14" spans="1:43" s="317" customFormat="1" ht="15" x14ac:dyDescent="0.15">
      <c r="A14" s="326" t="s">
        <v>387</v>
      </c>
      <c r="B14" s="327"/>
      <c r="C14" s="327"/>
      <c r="D14" s="327"/>
      <c r="E14" s="327"/>
      <c r="F14" s="327"/>
      <c r="G14" s="328"/>
      <c r="H14" s="329"/>
      <c r="I14" s="330">
        <f t="shared" ref="I14:AE14" si="10">(I13-H13)/H13</f>
        <v>1.4475271411339054E-2</v>
      </c>
      <c r="J14" s="330">
        <f t="shared" si="10"/>
        <v>7.9270709472849775E-3</v>
      </c>
      <c r="K14" s="330">
        <f t="shared" si="10"/>
        <v>2.7919779787652244E-2</v>
      </c>
      <c r="L14" s="330">
        <f t="shared" si="10"/>
        <v>6.5034429992350635E-3</v>
      </c>
      <c r="M14" s="330">
        <f t="shared" si="10"/>
        <v>-4.9410870391486551E-3</v>
      </c>
      <c r="N14" s="330">
        <f t="shared" si="10"/>
        <v>-0.11420932009167305</v>
      </c>
      <c r="O14" s="330">
        <f t="shared" si="10"/>
        <v>-0.18844329452350159</v>
      </c>
      <c r="P14" s="330">
        <f t="shared" si="10"/>
        <v>-0.23751328374070133</v>
      </c>
      <c r="Q14" s="330">
        <f t="shared" si="10"/>
        <v>-0.19372822299651565</v>
      </c>
      <c r="R14" s="330">
        <f t="shared" si="10"/>
        <v>0.54969749351771835</v>
      </c>
      <c r="S14" s="330">
        <f t="shared" si="10"/>
        <v>-0.50641383156720587</v>
      </c>
      <c r="T14" s="330">
        <f t="shared" si="10"/>
        <v>-8.022598870056491E-2</v>
      </c>
      <c r="U14" s="330">
        <f t="shared" si="10"/>
        <v>1.1081081081081079</v>
      </c>
      <c r="V14" s="330">
        <f t="shared" si="10"/>
        <v>0.72144522144522139</v>
      </c>
      <c r="W14" s="330">
        <f t="shared" si="10"/>
        <v>-6.9058903182125861E-2</v>
      </c>
      <c r="X14" s="330">
        <f t="shared" si="10"/>
        <v>-0.12327636363636388</v>
      </c>
      <c r="Y14" s="330">
        <f t="shared" si="10"/>
        <v>0.12028668721147832</v>
      </c>
      <c r="Z14" s="330">
        <f t="shared" si="10"/>
        <v>-1.9144761199556104E-2</v>
      </c>
      <c r="AA14" s="330">
        <f t="shared" si="10"/>
        <v>0.10846679676441587</v>
      </c>
      <c r="AB14" s="330">
        <f t="shared" si="10"/>
        <v>0.23595263310234563</v>
      </c>
      <c r="AC14" s="330">
        <f t="shared" si="10"/>
        <v>0</v>
      </c>
      <c r="AD14" s="330">
        <f t="shared" si="10"/>
        <v>0</v>
      </c>
      <c r="AE14" s="330">
        <f t="shared" si="10"/>
        <v>0</v>
      </c>
      <c r="AF14" s="331"/>
      <c r="AH14" s="316"/>
      <c r="AI14" s="316"/>
      <c r="AJ14" s="316" t="s">
        <v>82</v>
      </c>
      <c r="AK14" s="325">
        <f>SUM(H13:K13)</f>
        <v>1016.6999999999999</v>
      </c>
      <c r="AL14" s="325">
        <f>SUM(L13:O13)</f>
        <v>945</v>
      </c>
      <c r="AM14" s="325">
        <f>SUM(P13:S13)</f>
        <v>527</v>
      </c>
      <c r="AN14" s="325">
        <f>SUM(T13:W13)</f>
        <v>823.4</v>
      </c>
      <c r="AO14" s="325">
        <f>SUM(X13:AA13)</f>
        <v>1069.7930000000001</v>
      </c>
      <c r="AP14" s="386">
        <f>SUM(AB13:AE13)</f>
        <v>1451.8241200000011</v>
      </c>
      <c r="AQ14" s="386">
        <f>AQ10-AQ11-(AQ10*AQ13)</f>
        <v>1743.3620370600001</v>
      </c>
    </row>
    <row r="15" spans="1:43" s="316" customFormat="1" x14ac:dyDescent="0.15">
      <c r="H15" s="219"/>
      <c r="I15" s="349"/>
      <c r="J15" s="349"/>
      <c r="K15" s="349"/>
      <c r="L15" s="349"/>
      <c r="M15" s="349"/>
      <c r="N15" s="349"/>
      <c r="O15" s="349"/>
      <c r="P15" s="349"/>
      <c r="Q15" s="349"/>
      <c r="R15" s="349"/>
      <c r="S15" s="350"/>
      <c r="T15" s="350"/>
      <c r="U15" s="349"/>
      <c r="V15" s="349"/>
      <c r="W15" s="349"/>
      <c r="X15" s="351"/>
      <c r="Y15" s="351"/>
      <c r="Z15" s="351"/>
      <c r="AA15" s="351"/>
      <c r="AB15" s="351"/>
      <c r="AC15" s="351"/>
      <c r="AD15" s="351"/>
      <c r="AE15" s="351"/>
      <c r="AF15" s="319"/>
      <c r="AJ15" s="316" t="s">
        <v>536</v>
      </c>
      <c r="AK15" s="325"/>
      <c r="AL15" s="354">
        <f>(AL14-AK14)/AK14</f>
        <v>-7.0522277958099677E-2</v>
      </c>
      <c r="AM15" s="354">
        <f>(AM14-AL14)/AL14</f>
        <v>-0.44232804232804235</v>
      </c>
      <c r="AN15" s="354">
        <f>(AN14-AM14)/AM14</f>
        <v>0.56242884250474379</v>
      </c>
      <c r="AO15" s="354">
        <f>(AO14-AN14)/AN14</f>
        <v>0.29923852319650251</v>
      </c>
      <c r="AP15" s="354">
        <f>(AP14-AO14)/AO14</f>
        <v>0.3571075151921923</v>
      </c>
      <c r="AQ15" s="354">
        <f t="shared" ref="AQ15" si="11">(AQ14-AP14)/AP14</f>
        <v>0.20080801320479424</v>
      </c>
    </row>
    <row r="16" spans="1:43" s="316" customFormat="1" x14ac:dyDescent="0.15">
      <c r="A16" s="352" t="s">
        <v>380</v>
      </c>
      <c r="H16" s="219"/>
      <c r="I16" s="349"/>
      <c r="J16" s="349"/>
      <c r="K16" s="349"/>
      <c r="L16" s="349"/>
      <c r="M16" s="349"/>
      <c r="N16" s="349"/>
      <c r="O16" s="349"/>
      <c r="P16" s="349"/>
      <c r="Q16" s="349"/>
      <c r="R16" s="349"/>
      <c r="S16" s="350"/>
      <c r="T16" s="350"/>
      <c r="U16" s="349"/>
      <c r="V16" s="349"/>
      <c r="W16" s="349"/>
      <c r="X16" s="351"/>
      <c r="Y16" s="351"/>
      <c r="Z16" s="351"/>
      <c r="AA16" s="351"/>
      <c r="AB16" s="351"/>
      <c r="AC16" s="351"/>
      <c r="AD16" s="351"/>
      <c r="AE16" s="351"/>
      <c r="AF16" s="319"/>
      <c r="AJ16" s="312"/>
      <c r="AK16" s="313"/>
      <c r="AP16" s="379"/>
      <c r="AQ16" s="379"/>
    </row>
    <row r="17" spans="1:43" s="316" customFormat="1" x14ac:dyDescent="0.15">
      <c r="A17" s="353" t="s">
        <v>381</v>
      </c>
      <c r="G17" s="321">
        <v>622.1</v>
      </c>
      <c r="H17" s="321">
        <v>641.6</v>
      </c>
      <c r="I17" s="325">
        <v>644.79999999999995</v>
      </c>
      <c r="J17" s="325">
        <v>648</v>
      </c>
      <c r="K17" s="325">
        <v>648</v>
      </c>
      <c r="L17" s="325">
        <v>666.2</v>
      </c>
      <c r="M17" s="325">
        <v>664.4</v>
      </c>
      <c r="N17" s="325">
        <v>646.70000000000005</v>
      </c>
      <c r="O17" s="325">
        <f>N17</f>
        <v>646.70000000000005</v>
      </c>
      <c r="P17" s="325">
        <v>672.9</v>
      </c>
      <c r="Q17" s="325">
        <v>672.2</v>
      </c>
      <c r="R17" s="325">
        <v>663.8</v>
      </c>
      <c r="S17" s="325">
        <v>682.9</v>
      </c>
      <c r="T17" s="325">
        <v>685.5</v>
      </c>
      <c r="U17" s="325">
        <v>706.5</v>
      </c>
      <c r="V17" s="325">
        <v>713.1</v>
      </c>
      <c r="W17" s="325">
        <v>732.9</v>
      </c>
      <c r="X17" s="324">
        <v>745</v>
      </c>
      <c r="Y17" s="324">
        <v>772.3</v>
      </c>
      <c r="Z17" s="324">
        <v>775</v>
      </c>
      <c r="AA17" s="324">
        <f>(AA20*AA22)/1000000</f>
        <v>775</v>
      </c>
      <c r="AB17" s="324">
        <f t="shared" ref="AB17:AE17" si="12">(AB20*AB22)/1000000</f>
        <v>830.02500000000009</v>
      </c>
      <c r="AC17" s="324">
        <f t="shared" si="12"/>
        <v>830.02500000000009</v>
      </c>
      <c r="AD17" s="324">
        <f t="shared" si="12"/>
        <v>830.02500000000009</v>
      </c>
      <c r="AE17" s="324">
        <f t="shared" si="12"/>
        <v>830.02500000000009</v>
      </c>
      <c r="AF17" s="319"/>
      <c r="AQ17" s="744"/>
    </row>
    <row r="18" spans="1:43" s="317" customFormat="1" ht="17" customHeight="1" outlineLevel="1" x14ac:dyDescent="0.15">
      <c r="A18" s="326" t="s">
        <v>387</v>
      </c>
      <c r="B18" s="327"/>
      <c r="C18" s="327"/>
      <c r="D18" s="327"/>
      <c r="E18" s="327"/>
      <c r="F18" s="327"/>
      <c r="G18" s="328"/>
      <c r="H18" s="329"/>
      <c r="I18" s="330">
        <f>(I17-H17)/H17</f>
        <v>4.9875311720697186E-3</v>
      </c>
      <c r="J18" s="330">
        <f t="shared" ref="J18:Z18" si="13">(J17-I17)/I17</f>
        <v>4.9627791563276145E-3</v>
      </c>
      <c r="K18" s="330">
        <f t="shared" si="13"/>
        <v>0</v>
      </c>
      <c r="L18" s="330">
        <f t="shared" si="13"/>
        <v>2.808641975308649E-2</v>
      </c>
      <c r="M18" s="330">
        <f t="shared" si="13"/>
        <v>-2.7018913239268507E-3</v>
      </c>
      <c r="N18" s="330">
        <f t="shared" si="13"/>
        <v>-2.6640577965081173E-2</v>
      </c>
      <c r="O18" s="330">
        <f t="shared" si="13"/>
        <v>0</v>
      </c>
      <c r="P18" s="330">
        <f t="shared" si="13"/>
        <v>4.0513375599195808E-2</v>
      </c>
      <c r="Q18" s="330">
        <f t="shared" si="13"/>
        <v>-1.040273443304996E-3</v>
      </c>
      <c r="R18" s="330">
        <f t="shared" si="13"/>
        <v>-1.2496280868789185E-2</v>
      </c>
      <c r="S18" s="330">
        <f t="shared" si="13"/>
        <v>2.877372702621275E-2</v>
      </c>
      <c r="T18" s="330">
        <f t="shared" si="13"/>
        <v>3.8072924293454718E-3</v>
      </c>
      <c r="U18" s="330">
        <f t="shared" si="13"/>
        <v>3.0634573304157548E-2</v>
      </c>
      <c r="V18" s="330">
        <f t="shared" si="13"/>
        <v>9.3418259023354891E-3</v>
      </c>
      <c r="W18" s="330">
        <f t="shared" si="13"/>
        <v>2.7766091712242258E-2</v>
      </c>
      <c r="X18" s="330">
        <f t="shared" si="13"/>
        <v>1.6509755764770123E-2</v>
      </c>
      <c r="Y18" s="330">
        <f t="shared" si="13"/>
        <v>3.6644295302013359E-2</v>
      </c>
      <c r="Z18" s="330">
        <f t="shared" si="13"/>
        <v>3.496050757477723E-3</v>
      </c>
      <c r="AA18" s="330">
        <f t="shared" ref="AA18" si="14">(AA17-Z17)/Z17</f>
        <v>0</v>
      </c>
      <c r="AB18" s="330">
        <f t="shared" ref="AB18" si="15">(AB17-AA17)/AA17</f>
        <v>7.1000000000000119E-2</v>
      </c>
      <c r="AC18" s="330">
        <f t="shared" ref="AC18" si="16">(AC17-AB17)/AB17</f>
        <v>0</v>
      </c>
      <c r="AD18" s="330">
        <f t="shared" ref="AD18" si="17">(AD17-AC17)/AC17</f>
        <v>0</v>
      </c>
      <c r="AE18" s="330">
        <f t="shared" ref="AE18" si="18">(AE17-AD17)/AD17</f>
        <v>0</v>
      </c>
      <c r="AF18" s="331"/>
      <c r="AH18" s="316"/>
      <c r="AI18" s="316"/>
      <c r="AJ18" s="316"/>
      <c r="AK18" s="316"/>
      <c r="AL18" s="316"/>
      <c r="AM18" s="316"/>
      <c r="AN18" s="316"/>
      <c r="AO18" s="316"/>
      <c r="AP18" s="316"/>
      <c r="AQ18" s="316"/>
    </row>
    <row r="19" spans="1:43" s="316" customFormat="1" outlineLevel="1" x14ac:dyDescent="0.15">
      <c r="A19" s="353" t="s">
        <v>533</v>
      </c>
      <c r="G19" s="321"/>
      <c r="H19" s="332">
        <f t="shared" ref="H19:Z19" si="19">H17/H5</f>
        <v>0.42719222318396699</v>
      </c>
      <c r="I19" s="354">
        <f t="shared" si="19"/>
        <v>0.4285809238949817</v>
      </c>
      <c r="J19" s="354">
        <f t="shared" si="19"/>
        <v>0.43145349224315865</v>
      </c>
      <c r="K19" s="355">
        <f t="shared" si="19"/>
        <v>0.42962275409401313</v>
      </c>
      <c r="L19" s="354">
        <f t="shared" si="19"/>
        <v>0.43608038227400669</v>
      </c>
      <c r="M19" s="354">
        <f t="shared" si="19"/>
        <v>0.43633020292900765</v>
      </c>
      <c r="N19" s="354">
        <f t="shared" si="19"/>
        <v>0.43595793447485509</v>
      </c>
      <c r="O19" s="354">
        <f t="shared" si="19"/>
        <v>0.43545889165712753</v>
      </c>
      <c r="P19" s="354">
        <f t="shared" si="19"/>
        <v>0.44101454974439636</v>
      </c>
      <c r="Q19" s="354">
        <f t="shared" si="19"/>
        <v>0.44162669995401094</v>
      </c>
      <c r="R19" s="354">
        <f t="shared" si="19"/>
        <v>0.44229744136460553</v>
      </c>
      <c r="S19" s="354">
        <f t="shared" si="19"/>
        <v>0.44654417053553913</v>
      </c>
      <c r="T19" s="354">
        <f t="shared" si="19"/>
        <v>0.44371804000258913</v>
      </c>
      <c r="U19" s="354">
        <f t="shared" si="19"/>
        <v>0.44934172867773325</v>
      </c>
      <c r="V19" s="354">
        <f t="shared" si="19"/>
        <v>0.45723262374967943</v>
      </c>
      <c r="W19" s="354">
        <f t="shared" si="19"/>
        <v>0.46342080303509325</v>
      </c>
      <c r="X19" s="354">
        <f t="shared" si="19"/>
        <v>0.46284791252485091</v>
      </c>
      <c r="Y19" s="354">
        <f t="shared" si="19"/>
        <v>0.47051297672718406</v>
      </c>
      <c r="Z19" s="354">
        <f t="shared" si="19"/>
        <v>0.46751523194787958</v>
      </c>
      <c r="AA19" s="354">
        <f t="shared" ref="AA19:AE19" si="20">AA17/AA5</f>
        <v>0.46103509815585964</v>
      </c>
      <c r="AB19" s="354">
        <f t="shared" si="20"/>
        <v>0.448215642470771</v>
      </c>
      <c r="AC19" s="354">
        <f t="shared" si="20"/>
        <v>0.448215642470771</v>
      </c>
      <c r="AD19" s="354">
        <f t="shared" si="20"/>
        <v>0.448215642470771</v>
      </c>
      <c r="AE19" s="354">
        <f t="shared" si="20"/>
        <v>0.448215642470771</v>
      </c>
      <c r="AF19" s="319"/>
      <c r="AN19" s="317"/>
      <c r="AO19" s="317"/>
      <c r="AP19" s="317"/>
      <c r="AQ19" s="317"/>
    </row>
    <row r="20" spans="1:43" s="316" customFormat="1" ht="15" outlineLevel="1" x14ac:dyDescent="0.15">
      <c r="A20" s="326" t="s">
        <v>532</v>
      </c>
      <c r="G20" s="321"/>
      <c r="H20" s="332"/>
      <c r="I20" s="354"/>
      <c r="J20" s="354"/>
      <c r="K20" s="355"/>
      <c r="L20" s="354"/>
      <c r="M20" s="354"/>
      <c r="N20" s="354"/>
      <c r="O20" s="354"/>
      <c r="P20" s="354"/>
      <c r="Q20" s="354"/>
      <c r="R20" s="354"/>
      <c r="S20" s="354"/>
      <c r="T20" s="354"/>
      <c r="U20" s="354"/>
      <c r="V20" s="354"/>
      <c r="W20" s="354"/>
      <c r="X20" s="356">
        <f>X7*X19</f>
        <v>17588220.675944336</v>
      </c>
      <c r="Y20" s="356">
        <f>Y7*Y19</f>
        <v>17879493.115632996</v>
      </c>
      <c r="Z20" s="356">
        <f>Z7*Z19</f>
        <v>17765578.814019423</v>
      </c>
      <c r="AA20" s="357">
        <f>Z20*(1+AA21)</f>
        <v>17765578.814019423</v>
      </c>
      <c r="AB20" s="357">
        <f t="shared" ref="AB20:AE20" si="21">AA20*(1+AB21)</f>
        <v>18120890.390299812</v>
      </c>
      <c r="AC20" s="357">
        <f t="shared" si="21"/>
        <v>18120890.390299812</v>
      </c>
      <c r="AD20" s="357">
        <f t="shared" si="21"/>
        <v>18120890.390299812</v>
      </c>
      <c r="AE20" s="357">
        <f t="shared" si="21"/>
        <v>18120890.390299812</v>
      </c>
      <c r="AF20" s="319"/>
      <c r="AP20" s="332"/>
    </row>
    <row r="21" spans="1:43" s="317" customFormat="1" ht="17" customHeight="1" outlineLevel="1" x14ac:dyDescent="0.15">
      <c r="A21" s="358" t="s">
        <v>387</v>
      </c>
      <c r="B21" s="327"/>
      <c r="C21" s="327"/>
      <c r="D21" s="327"/>
      <c r="E21" s="327"/>
      <c r="F21" s="327"/>
      <c r="G21" s="328"/>
      <c r="H21" s="329"/>
      <c r="I21" s="330"/>
      <c r="J21" s="330"/>
      <c r="K21" s="359"/>
      <c r="L21" s="330"/>
      <c r="M21" s="330"/>
      <c r="N21" s="330"/>
      <c r="O21" s="330"/>
      <c r="P21" s="330"/>
      <c r="Q21" s="330"/>
      <c r="R21" s="330"/>
      <c r="S21" s="330"/>
      <c r="T21" s="330"/>
      <c r="U21" s="330"/>
      <c r="V21" s="330"/>
      <c r="W21" s="330"/>
      <c r="X21" s="360"/>
      <c r="Y21" s="361">
        <f>(Y20-X20)/X20</f>
        <v>1.6560654147752294E-2</v>
      </c>
      <c r="Z21" s="361">
        <f t="shared" ref="Z21" si="22">(Z20-Y20)/Y20</f>
        <v>-6.3712265709575189E-3</v>
      </c>
      <c r="AA21" s="362">
        <v>0</v>
      </c>
      <c r="AB21" s="362">
        <v>0.02</v>
      </c>
      <c r="AC21" s="362">
        <v>0</v>
      </c>
      <c r="AD21" s="362">
        <v>0</v>
      </c>
      <c r="AE21" s="362">
        <v>0</v>
      </c>
      <c r="AF21" s="331"/>
      <c r="AH21" s="316"/>
      <c r="AI21" s="316"/>
      <c r="AJ21" s="316"/>
      <c r="AK21" s="316"/>
      <c r="AL21" s="316"/>
      <c r="AM21" s="316"/>
      <c r="AN21" s="316"/>
      <c r="AO21" s="316"/>
      <c r="AP21" s="332"/>
      <c r="AQ21" s="316"/>
    </row>
    <row r="22" spans="1:43" s="316" customFormat="1" ht="19.5" customHeight="1" outlineLevel="1" x14ac:dyDescent="0.15">
      <c r="A22" s="326" t="s">
        <v>534</v>
      </c>
      <c r="G22" s="321"/>
      <c r="H22" s="332"/>
      <c r="I22" s="354"/>
      <c r="J22" s="354"/>
      <c r="K22" s="355"/>
      <c r="L22" s="354"/>
      <c r="M22" s="354"/>
      <c r="N22" s="354"/>
      <c r="O22" s="354"/>
      <c r="P22" s="354"/>
      <c r="Q22" s="354"/>
      <c r="R22" s="354"/>
      <c r="S22" s="354"/>
      <c r="T22" s="354"/>
      <c r="U22" s="354"/>
      <c r="V22" s="354"/>
      <c r="W22" s="354"/>
      <c r="X22" s="363">
        <f>(X17*1000000)/X20</f>
        <v>42.357894736842098</v>
      </c>
      <c r="Y22" s="363">
        <f t="shared" ref="Y22:Z22" si="23">(Y17*1000000)/Y20</f>
        <v>43.194736842105264</v>
      </c>
      <c r="Z22" s="363">
        <f t="shared" si="23"/>
        <v>43.623684210526321</v>
      </c>
      <c r="AA22" s="364">
        <f>Z22*(1+AA23)</f>
        <v>43.623684210526321</v>
      </c>
      <c r="AB22" s="364">
        <f t="shared" ref="AB22:AE22" si="24">AA22*(1+AB23)</f>
        <v>45.804868421052639</v>
      </c>
      <c r="AC22" s="364">
        <f t="shared" si="24"/>
        <v>45.804868421052639</v>
      </c>
      <c r="AD22" s="364">
        <f t="shared" si="24"/>
        <v>45.804868421052639</v>
      </c>
      <c r="AE22" s="364">
        <f t="shared" si="24"/>
        <v>45.804868421052639</v>
      </c>
      <c r="AF22" s="319"/>
      <c r="AN22" s="317"/>
      <c r="AO22" s="317"/>
      <c r="AP22" s="317"/>
      <c r="AQ22" s="317"/>
    </row>
    <row r="23" spans="1:43" s="317" customFormat="1" ht="17" customHeight="1" outlineLevel="1" x14ac:dyDescent="0.15">
      <c r="A23" s="358" t="s">
        <v>387</v>
      </c>
      <c r="B23" s="327"/>
      <c r="C23" s="327"/>
      <c r="D23" s="327"/>
      <c r="E23" s="327"/>
      <c r="F23" s="327"/>
      <c r="G23" s="328"/>
      <c r="H23" s="329"/>
      <c r="I23" s="330"/>
      <c r="J23" s="330"/>
      <c r="K23" s="359"/>
      <c r="L23" s="330"/>
      <c r="M23" s="330"/>
      <c r="N23" s="330"/>
      <c r="O23" s="330"/>
      <c r="P23" s="330"/>
      <c r="Q23" s="330"/>
      <c r="R23" s="330"/>
      <c r="S23" s="330"/>
      <c r="T23" s="330"/>
      <c r="U23" s="330"/>
      <c r="V23" s="330"/>
      <c r="W23" s="330"/>
      <c r="X23" s="360"/>
      <c r="Y23" s="361">
        <f>(Y22-X22)/X22</f>
        <v>1.975646123260457E-2</v>
      </c>
      <c r="Z23" s="361">
        <f t="shared" ref="Z23" si="25">(Z22-Y22)/Y22</f>
        <v>9.9305470939442791E-3</v>
      </c>
      <c r="AA23" s="362">
        <v>0</v>
      </c>
      <c r="AB23" s="365">
        <v>0.05</v>
      </c>
      <c r="AC23" s="365">
        <v>0</v>
      </c>
      <c r="AD23" s="365">
        <v>0</v>
      </c>
      <c r="AE23" s="365">
        <v>0</v>
      </c>
      <c r="AF23" s="331"/>
      <c r="AH23" s="316"/>
      <c r="AI23" s="316"/>
      <c r="AJ23" s="316"/>
      <c r="AK23" s="316"/>
      <c r="AL23" s="316"/>
      <c r="AM23" s="316"/>
      <c r="AN23" s="316"/>
      <c r="AO23" s="316"/>
      <c r="AP23" s="332"/>
      <c r="AQ23" s="316"/>
    </row>
    <row r="24" spans="1:43" s="316" customFormat="1" x14ac:dyDescent="0.15">
      <c r="A24" s="353" t="s">
        <v>382</v>
      </c>
      <c r="G24" s="321">
        <v>473.9</v>
      </c>
      <c r="H24" s="321">
        <v>479.27520000000004</v>
      </c>
      <c r="I24" s="325">
        <v>481.66559999999998</v>
      </c>
      <c r="J24" s="325">
        <v>480.81599999999997</v>
      </c>
      <c r="K24" s="325">
        <v>481</v>
      </c>
      <c r="L24" s="325">
        <v>487.65840000000003</v>
      </c>
      <c r="M24" s="325">
        <v>483.68319999999994</v>
      </c>
      <c r="N24" s="325">
        <v>479.2047</v>
      </c>
      <c r="O24" s="325">
        <f>N24</f>
        <v>479.2047</v>
      </c>
      <c r="P24" s="325">
        <v>503.32919999999996</v>
      </c>
      <c r="Q24" s="325">
        <v>502.13340000000005</v>
      </c>
      <c r="R24" s="325">
        <v>523.73820000000001</v>
      </c>
      <c r="S24" s="325">
        <v>534.71069999999997</v>
      </c>
      <c r="T24" s="325">
        <v>505.899</v>
      </c>
      <c r="U24" s="325">
        <v>469.11600000000004</v>
      </c>
      <c r="V24" s="325">
        <v>447.11369999999999</v>
      </c>
      <c r="W24" s="325">
        <v>469.7888999999999</v>
      </c>
      <c r="X24" s="324">
        <v>480</v>
      </c>
      <c r="Y24" s="324">
        <v>482</v>
      </c>
      <c r="Z24" s="324">
        <v>483</v>
      </c>
      <c r="AA24" s="324">
        <f>(AA25*AA20)/1000000</f>
        <v>483</v>
      </c>
      <c r="AB24" s="324">
        <f>(AB25*AB20)/1000000</f>
        <v>517.29300000000001</v>
      </c>
      <c r="AC24" s="324">
        <f t="shared" ref="AC24:AE24" si="26">(AC25*AC20)/1000000</f>
        <v>517.29300000000001</v>
      </c>
      <c r="AD24" s="324">
        <f t="shared" si="26"/>
        <v>517.29300000000001</v>
      </c>
      <c r="AE24" s="324">
        <f t="shared" si="26"/>
        <v>517.29300000000001</v>
      </c>
      <c r="AF24" s="319"/>
      <c r="AN24" s="317"/>
      <c r="AO24" s="317"/>
      <c r="AP24" s="317"/>
      <c r="AQ24" s="317"/>
    </row>
    <row r="25" spans="1:43" s="316" customFormat="1" outlineLevel="1" x14ac:dyDescent="0.15">
      <c r="A25" s="366" t="s">
        <v>541</v>
      </c>
      <c r="G25" s="321"/>
      <c r="H25" s="321"/>
      <c r="I25" s="325"/>
      <c r="J25" s="325"/>
      <c r="K25" s="325"/>
      <c r="L25" s="325"/>
      <c r="M25" s="325"/>
      <c r="N25" s="325"/>
      <c r="O25" s="325"/>
      <c r="P25" s="325"/>
      <c r="Q25" s="325"/>
      <c r="R25" s="325"/>
      <c r="S25" s="325"/>
      <c r="T25" s="325"/>
      <c r="U25" s="325"/>
      <c r="V25" s="325"/>
      <c r="W25" s="325"/>
      <c r="X25" s="378">
        <f>(X24*1000000)/X20</f>
        <v>27.290992582126453</v>
      </c>
      <c r="Y25" s="378">
        <f t="shared" ref="Y25:Z25" si="27">(Y24*1000000)/Y20</f>
        <v>26.958258653236744</v>
      </c>
      <c r="Z25" s="378">
        <f t="shared" si="27"/>
        <v>27.187405772495758</v>
      </c>
      <c r="AA25" s="367">
        <f>Z25*(1+AA26)</f>
        <v>27.187405772495758</v>
      </c>
      <c r="AB25" s="367">
        <f t="shared" ref="AB25:AE25" si="28">AA25*(1+AB26)</f>
        <v>28.546776061120546</v>
      </c>
      <c r="AC25" s="367">
        <f t="shared" si="28"/>
        <v>28.546776061120546</v>
      </c>
      <c r="AD25" s="367">
        <f t="shared" si="28"/>
        <v>28.546776061120546</v>
      </c>
      <c r="AE25" s="367">
        <f t="shared" si="28"/>
        <v>28.546776061120546</v>
      </c>
      <c r="AF25" s="319"/>
    </row>
    <row r="26" spans="1:43" s="316" customFormat="1" ht="15" outlineLevel="1" x14ac:dyDescent="0.15">
      <c r="A26" s="358" t="s">
        <v>387</v>
      </c>
      <c r="G26" s="321"/>
      <c r="H26" s="321"/>
      <c r="I26" s="325"/>
      <c r="J26" s="325"/>
      <c r="K26" s="325"/>
      <c r="L26" s="325"/>
      <c r="M26" s="325"/>
      <c r="N26" s="325"/>
      <c r="O26" s="325"/>
      <c r="P26" s="325"/>
      <c r="Q26" s="325"/>
      <c r="R26" s="325"/>
      <c r="S26" s="325"/>
      <c r="T26" s="325"/>
      <c r="U26" s="325"/>
      <c r="V26" s="325"/>
      <c r="W26" s="325"/>
      <c r="X26" s="324"/>
      <c r="Y26" s="361">
        <f>(Y25-X25)/X25</f>
        <v>-1.2192078682679538E-2</v>
      </c>
      <c r="Z26" s="361">
        <f t="shared" ref="Z26" si="29">(Z25-Y25)/Y25</f>
        <v>8.5000712474246499E-3</v>
      </c>
      <c r="AA26" s="362">
        <v>0</v>
      </c>
      <c r="AB26" s="362">
        <v>0.05</v>
      </c>
      <c r="AC26" s="362">
        <v>0</v>
      </c>
      <c r="AD26" s="362">
        <v>0</v>
      </c>
      <c r="AE26" s="362">
        <v>0</v>
      </c>
      <c r="AF26" s="319"/>
    </row>
    <row r="27" spans="1:43" s="316" customFormat="1" x14ac:dyDescent="0.15">
      <c r="A27" s="353" t="s">
        <v>383</v>
      </c>
      <c r="G27" s="321">
        <v>153.03659999999999</v>
      </c>
      <c r="H27" s="321">
        <v>161.6832</v>
      </c>
      <c r="I27" s="325">
        <v>164.42399999999998</v>
      </c>
      <c r="J27" s="325">
        <v>167.83199999999999</v>
      </c>
      <c r="K27" s="325">
        <v>168</v>
      </c>
      <c r="L27" s="325">
        <v>183.87120000000002</v>
      </c>
      <c r="M27" s="325">
        <v>185.36759999999998</v>
      </c>
      <c r="N27" s="325">
        <v>189.48310000000001</v>
      </c>
      <c r="O27" s="325">
        <f>N27</f>
        <v>189.48310000000001</v>
      </c>
      <c r="P27" s="325">
        <v>139.9632</v>
      </c>
      <c r="Q27" s="325">
        <v>192.92140000000001</v>
      </c>
      <c r="R27" s="325">
        <v>186.52780000000001</v>
      </c>
      <c r="S27" s="325">
        <v>204.18709999999999</v>
      </c>
      <c r="T27" s="325">
        <v>147.38249999999999</v>
      </c>
      <c r="U27" s="325">
        <v>213.363</v>
      </c>
      <c r="V27" s="325">
        <v>217.49549999999999</v>
      </c>
      <c r="W27" s="325">
        <v>217.67129999999997</v>
      </c>
      <c r="X27" s="324">
        <f>X17*X28</f>
        <v>212.32499999999999</v>
      </c>
      <c r="Y27" s="324">
        <f>Y17*Y28</f>
        <v>220.10549999999998</v>
      </c>
      <c r="Z27" s="324">
        <f>Z17*Z28</f>
        <v>232.5</v>
      </c>
      <c r="AA27" s="324">
        <f>AA17*AA28</f>
        <v>232.5</v>
      </c>
      <c r="AB27" s="324">
        <f>AB17*AB28</f>
        <v>236.55712500000001</v>
      </c>
      <c r="AC27" s="324">
        <f t="shared" ref="AC27:AE27" si="30">AC17*AC28</f>
        <v>236.55712500000001</v>
      </c>
      <c r="AD27" s="324">
        <f t="shared" si="30"/>
        <v>236.55712500000001</v>
      </c>
      <c r="AE27" s="324">
        <f t="shared" si="30"/>
        <v>236.55712500000001</v>
      </c>
      <c r="AF27" s="319"/>
    </row>
    <row r="28" spans="1:43" s="316" customFormat="1" x14ac:dyDescent="0.15">
      <c r="A28" s="353" t="s">
        <v>384</v>
      </c>
      <c r="G28" s="332">
        <v>0.246</v>
      </c>
      <c r="H28" s="332">
        <v>0.252</v>
      </c>
      <c r="I28" s="354">
        <v>0.255</v>
      </c>
      <c r="J28" s="354">
        <v>0.25900000000000001</v>
      </c>
      <c r="K28" s="355">
        <v>0.27100000000000002</v>
      </c>
      <c r="L28" s="354">
        <v>0.27600000000000002</v>
      </c>
      <c r="M28" s="354">
        <v>0.27899999999999997</v>
      </c>
      <c r="N28" s="354">
        <v>0.29299999999999998</v>
      </c>
      <c r="O28" s="354">
        <f>O27/O17</f>
        <v>0.29299999999999998</v>
      </c>
      <c r="P28" s="354">
        <v>0.20800000000000002</v>
      </c>
      <c r="Q28" s="354">
        <v>0.28699999999999998</v>
      </c>
      <c r="R28" s="354">
        <v>0.28100000000000003</v>
      </c>
      <c r="S28" s="354">
        <v>0.29899999999999999</v>
      </c>
      <c r="T28" s="354">
        <v>0.215</v>
      </c>
      <c r="U28" s="354">
        <v>0.30199999999999999</v>
      </c>
      <c r="V28" s="354">
        <v>0.30499999999999999</v>
      </c>
      <c r="W28" s="354">
        <v>0.29699999999999999</v>
      </c>
      <c r="X28" s="300">
        <v>0.28499999999999998</v>
      </c>
      <c r="Y28" s="300">
        <v>0.28499999999999998</v>
      </c>
      <c r="Z28" s="300">
        <v>0.3</v>
      </c>
      <c r="AA28" s="368">
        <v>0.3</v>
      </c>
      <c r="AB28" s="369">
        <v>0.28499999999999998</v>
      </c>
      <c r="AC28" s="369">
        <f>AB28</f>
        <v>0.28499999999999998</v>
      </c>
      <c r="AD28" s="369">
        <f t="shared" ref="AD28:AE28" si="31">AC28</f>
        <v>0.28499999999999998</v>
      </c>
      <c r="AE28" s="369">
        <f t="shared" si="31"/>
        <v>0.28499999999999998</v>
      </c>
      <c r="AF28" s="319"/>
    </row>
    <row r="29" spans="1:43" s="316" customFormat="1" x14ac:dyDescent="0.15">
      <c r="A29" s="353" t="s">
        <v>273</v>
      </c>
      <c r="G29" s="332">
        <v>0.76200000000000001</v>
      </c>
      <c r="H29" s="332">
        <v>0.747</v>
      </c>
      <c r="I29" s="354">
        <v>0.747</v>
      </c>
      <c r="J29" s="354">
        <v>0.74199999999999999</v>
      </c>
      <c r="K29" s="355">
        <v>0.74</v>
      </c>
      <c r="L29" s="354">
        <v>0.73199999999999998</v>
      </c>
      <c r="M29" s="354">
        <v>0.72799999999999998</v>
      </c>
      <c r="N29" s="354">
        <v>0.74099999999999999</v>
      </c>
      <c r="O29" s="354">
        <v>0</v>
      </c>
      <c r="P29" s="354">
        <v>0.748</v>
      </c>
      <c r="Q29" s="354">
        <v>0.747</v>
      </c>
      <c r="R29" s="354">
        <v>0.78900000000000003</v>
      </c>
      <c r="S29" s="354">
        <v>0.78299999999999992</v>
      </c>
      <c r="T29" s="354">
        <v>0.73799999999999999</v>
      </c>
      <c r="U29" s="354">
        <v>0.66400000000000003</v>
      </c>
      <c r="V29" s="354">
        <v>0.627</v>
      </c>
      <c r="W29" s="354">
        <v>0.6409999999999999</v>
      </c>
      <c r="X29" s="300">
        <v>0.57499999999999996</v>
      </c>
      <c r="Y29" s="300">
        <v>0.57499999999999996</v>
      </c>
      <c r="Z29" s="300">
        <v>0.57499999999999996</v>
      </c>
      <c r="AA29" s="370">
        <f>AA24/AA17</f>
        <v>0.62322580645161285</v>
      </c>
      <c r="AB29" s="370">
        <f t="shared" ref="AB29:AE29" si="32">AB24/AB17</f>
        <v>0.62322580645161285</v>
      </c>
      <c r="AC29" s="370">
        <f t="shared" si="32"/>
        <v>0.62322580645161285</v>
      </c>
      <c r="AD29" s="370">
        <f t="shared" si="32"/>
        <v>0.62322580645161285</v>
      </c>
      <c r="AE29" s="370">
        <f t="shared" si="32"/>
        <v>0.62322580645161285</v>
      </c>
      <c r="AF29" s="319"/>
    </row>
    <row r="30" spans="1:43" s="316" customFormat="1" x14ac:dyDescent="0.15">
      <c r="A30" s="353" t="s">
        <v>82</v>
      </c>
      <c r="G30" s="332"/>
      <c r="H30" s="371">
        <v>0.64159999999998263</v>
      </c>
      <c r="I30" s="372">
        <v>-1.2896000000000072</v>
      </c>
      <c r="J30" s="372">
        <v>-0.64799999999996771</v>
      </c>
      <c r="K30" s="373">
        <f>K17-K24-K27</f>
        <v>-1</v>
      </c>
      <c r="L30" s="372">
        <f>L17-L24-L27</f>
        <v>-5.3295999999999992</v>
      </c>
      <c r="M30" s="372">
        <f>M17-M24-M27</f>
        <v>-4.650799999999947</v>
      </c>
      <c r="N30" s="372">
        <f>N17-N24-N27</f>
        <v>-21.987799999999964</v>
      </c>
      <c r="O30" s="372">
        <f>O17-O24-O27</f>
        <v>-21.987799999999964</v>
      </c>
      <c r="P30" s="372">
        <v>29.607600000000019</v>
      </c>
      <c r="Q30" s="372">
        <v>-22.854800000000012</v>
      </c>
      <c r="R30" s="372">
        <v>-46.466000000000065</v>
      </c>
      <c r="S30" s="372">
        <v>-55.997799999999984</v>
      </c>
      <c r="T30" s="372">
        <v>32.218500000000006</v>
      </c>
      <c r="U30" s="372">
        <v>24.020999999999958</v>
      </c>
      <c r="V30" s="372">
        <v>48.490800000000036</v>
      </c>
      <c r="W30" s="372">
        <v>45.439800000000105</v>
      </c>
      <c r="X30" s="374">
        <f t="shared" ref="X30:AE30" si="33">X17-X24-X27</f>
        <v>52.675000000000011</v>
      </c>
      <c r="Y30" s="374">
        <f t="shared" si="33"/>
        <v>70.194499999999977</v>
      </c>
      <c r="Z30" s="374">
        <f t="shared" si="33"/>
        <v>59.5</v>
      </c>
      <c r="AA30" s="324">
        <f t="shared" si="33"/>
        <v>59.5</v>
      </c>
      <c r="AB30" s="374">
        <f t="shared" si="33"/>
        <v>76.174875000000071</v>
      </c>
      <c r="AC30" s="374">
        <f t="shared" si="33"/>
        <v>76.174875000000071</v>
      </c>
      <c r="AD30" s="374">
        <f t="shared" si="33"/>
        <v>76.174875000000071</v>
      </c>
      <c r="AE30" s="374">
        <f t="shared" si="33"/>
        <v>76.174875000000071</v>
      </c>
      <c r="AF30" s="319"/>
    </row>
    <row r="31" spans="1:43" s="316" customFormat="1" x14ac:dyDescent="0.15">
      <c r="A31" s="353" t="s">
        <v>385</v>
      </c>
      <c r="G31" s="332"/>
      <c r="H31" s="332">
        <v>2.5798150381985633E-3</v>
      </c>
      <c r="I31" s="354">
        <v>-5.111375346809382E-3</v>
      </c>
      <c r="J31" s="354">
        <v>-2.5481714510419491E-3</v>
      </c>
      <c r="K31" s="355">
        <v>0</v>
      </c>
      <c r="L31" s="354">
        <v>-2.0256936526035722E-2</v>
      </c>
      <c r="M31" s="354">
        <v>-1.7764705882352738E-2</v>
      </c>
      <c r="N31" s="354">
        <v>-9.4815868909012349E-2</v>
      </c>
      <c r="O31" s="354">
        <v>0</v>
      </c>
      <c r="P31" s="354">
        <v>0.20632473867595832</v>
      </c>
      <c r="Q31" s="354">
        <v>-0.19753500432152127</v>
      </c>
      <c r="R31" s="354">
        <v>-0.25915225878416098</v>
      </c>
      <c r="S31" s="354">
        <v>-0.63274350282485858</v>
      </c>
      <c r="T31" s="354">
        <v>0.39580466830466837</v>
      </c>
      <c r="U31" s="354">
        <v>0.13998251748251725</v>
      </c>
      <c r="V31" s="354">
        <v>0.16415301286391348</v>
      </c>
      <c r="W31" s="354">
        <v>0.16523563636363675</v>
      </c>
      <c r="X31" s="300">
        <f>X30/X13</f>
        <v>0.21847871621201259</v>
      </c>
      <c r="Y31" s="300">
        <f t="shared" ref="Y31:AE31" si="34">Y30/Y13</f>
        <v>0.25988337652721194</v>
      </c>
      <c r="Z31" s="300">
        <f t="shared" si="34"/>
        <v>0.2245884746479245</v>
      </c>
      <c r="AA31" s="300">
        <f t="shared" si="34"/>
        <v>0.20261181959034957</v>
      </c>
      <c r="AB31" s="300">
        <f t="shared" si="34"/>
        <v>0.20987356237062657</v>
      </c>
      <c r="AC31" s="300">
        <f t="shared" si="34"/>
        <v>0.20987356237062657</v>
      </c>
      <c r="AD31" s="300">
        <f t="shared" si="34"/>
        <v>0.20987356237062657</v>
      </c>
      <c r="AE31" s="300">
        <f t="shared" si="34"/>
        <v>0.20987356237062657</v>
      </c>
      <c r="AF31" s="319"/>
    </row>
    <row r="32" spans="1:43" s="316" customFormat="1" x14ac:dyDescent="0.15">
      <c r="A32" s="353"/>
      <c r="G32" s="332"/>
      <c r="I32" s="354"/>
      <c r="J32" s="354"/>
      <c r="K32" s="355"/>
      <c r="L32" s="354"/>
      <c r="M32" s="354"/>
      <c r="N32" s="354"/>
      <c r="O32" s="354"/>
      <c r="P32" s="354"/>
      <c r="Q32" s="354"/>
      <c r="R32" s="354"/>
      <c r="S32" s="354"/>
      <c r="T32" s="354"/>
      <c r="U32" s="354"/>
      <c r="V32" s="354"/>
      <c r="W32" s="354"/>
      <c r="X32" s="375"/>
      <c r="Y32" s="375"/>
      <c r="Z32" s="375"/>
      <c r="AA32" s="376"/>
      <c r="AB32" s="375"/>
      <c r="AC32" s="375"/>
      <c r="AD32" s="375"/>
      <c r="AE32" s="376"/>
      <c r="AF32" s="319"/>
    </row>
    <row r="33" spans="1:43" s="316" customFormat="1" x14ac:dyDescent="0.15">
      <c r="A33" s="352" t="s">
        <v>386</v>
      </c>
      <c r="I33" s="319"/>
      <c r="J33" s="319"/>
      <c r="K33" s="319"/>
      <c r="L33" s="319"/>
      <c r="M33" s="319"/>
      <c r="N33" s="319"/>
      <c r="O33" s="319"/>
      <c r="P33" s="319"/>
      <c r="Q33" s="319"/>
      <c r="R33" s="319"/>
      <c r="S33" s="319"/>
      <c r="T33" s="319"/>
      <c r="U33" s="319"/>
      <c r="V33" s="319"/>
      <c r="W33" s="319"/>
      <c r="X33" s="375"/>
      <c r="Y33" s="375"/>
      <c r="Z33" s="375"/>
      <c r="AA33" s="376"/>
      <c r="AB33" s="375"/>
      <c r="AC33" s="375"/>
      <c r="AD33" s="375"/>
      <c r="AE33" s="376"/>
      <c r="AF33" s="319"/>
    </row>
    <row r="34" spans="1:43" s="316" customFormat="1" x14ac:dyDescent="0.15">
      <c r="A34" s="353" t="s">
        <v>381</v>
      </c>
      <c r="H34" s="321">
        <v>404.9</v>
      </c>
      <c r="I34" s="325">
        <v>398</v>
      </c>
      <c r="J34" s="325">
        <v>397.4</v>
      </c>
      <c r="K34" s="325">
        <v>396.7</v>
      </c>
      <c r="L34" s="325">
        <v>405.3</v>
      </c>
      <c r="M34" s="325">
        <v>401.8</v>
      </c>
      <c r="N34" s="325">
        <v>390.7</v>
      </c>
      <c r="O34" s="325">
        <v>389</v>
      </c>
      <c r="P34" s="325">
        <v>401.5</v>
      </c>
      <c r="Q34" s="325">
        <v>393.3</v>
      </c>
      <c r="R34" s="325">
        <v>393.2</v>
      </c>
      <c r="S34" s="325">
        <v>391.2</v>
      </c>
      <c r="T34" s="325">
        <v>402.8</v>
      </c>
      <c r="U34" s="325">
        <v>401.1</v>
      </c>
      <c r="V34" s="325">
        <v>382.2</v>
      </c>
      <c r="W34" s="325">
        <v>385.4</v>
      </c>
      <c r="X34" s="324">
        <v>408</v>
      </c>
      <c r="Y34" s="324">
        <v>407.3</v>
      </c>
      <c r="Z34" s="324">
        <v>415</v>
      </c>
      <c r="AA34" s="324">
        <f>(AA37*AA39)/1000000</f>
        <v>415</v>
      </c>
      <c r="AB34" s="324">
        <f t="shared" ref="AB34:AE34" si="35">(AB37*AB39)/1000000</f>
        <v>501.11250000000001</v>
      </c>
      <c r="AC34" s="324">
        <f t="shared" si="35"/>
        <v>501.11250000000001</v>
      </c>
      <c r="AD34" s="324">
        <f t="shared" si="35"/>
        <v>501.11250000000001</v>
      </c>
      <c r="AE34" s="324">
        <f t="shared" si="35"/>
        <v>501.11250000000001</v>
      </c>
      <c r="AF34" s="319"/>
      <c r="AG34" s="321"/>
    </row>
    <row r="35" spans="1:43" s="317" customFormat="1" ht="17" customHeight="1" outlineLevel="1" x14ac:dyDescent="0.15">
      <c r="A35" s="326" t="s">
        <v>387</v>
      </c>
      <c r="B35" s="327"/>
      <c r="C35" s="327"/>
      <c r="D35" s="327"/>
      <c r="E35" s="327"/>
      <c r="F35" s="327"/>
      <c r="G35" s="328"/>
      <c r="H35" s="329"/>
      <c r="I35" s="330">
        <v>-1.7041244751790509E-2</v>
      </c>
      <c r="J35" s="330">
        <v>-1.5075376884422682E-3</v>
      </c>
      <c r="K35" s="359">
        <v>-1.7614494212380189E-3</v>
      </c>
      <c r="L35" s="330">
        <v>2.1678850516763354E-2</v>
      </c>
      <c r="M35" s="330">
        <v>-8.6355785837651123E-3</v>
      </c>
      <c r="N35" s="330">
        <v>-2.7625684420109563E-2</v>
      </c>
      <c r="O35" s="330">
        <v>-4.3511645764013019E-3</v>
      </c>
      <c r="P35" s="330">
        <v>3.2133676092544985E-2</v>
      </c>
      <c r="Q35" s="330">
        <v>-2.0423412204234093E-2</v>
      </c>
      <c r="R35" s="330">
        <v>-2.5425883549459125E-4</v>
      </c>
      <c r="S35" s="330">
        <v>-5.0864699898270603E-3</v>
      </c>
      <c r="T35" s="330">
        <v>2.9652351738241368E-2</v>
      </c>
      <c r="U35" s="330">
        <v>-4.2204568023832883E-3</v>
      </c>
      <c r="V35" s="330">
        <v>-4.7120418848167624E-2</v>
      </c>
      <c r="W35" s="330">
        <v>8.3725798011512007E-3</v>
      </c>
      <c r="X35" s="361">
        <v>8.3725798011512007E-3</v>
      </c>
      <c r="Y35" s="361">
        <v>8.3725798011512007E-3</v>
      </c>
      <c r="Z35" s="361">
        <v>8.3725798011512007E-3</v>
      </c>
      <c r="AA35" s="361">
        <f>(AA34-Z34)/Z34</f>
        <v>0</v>
      </c>
      <c r="AB35" s="361">
        <f t="shared" ref="AB35:AE35" si="36">(AB34-AA34)/AA34</f>
        <v>0.20750000000000002</v>
      </c>
      <c r="AC35" s="361">
        <f t="shared" si="36"/>
        <v>0</v>
      </c>
      <c r="AD35" s="361">
        <f t="shared" si="36"/>
        <v>0</v>
      </c>
      <c r="AE35" s="361">
        <f t="shared" si="36"/>
        <v>0</v>
      </c>
      <c r="AF35" s="331"/>
      <c r="AH35" s="316"/>
      <c r="AI35" s="316"/>
      <c r="AJ35" s="316"/>
      <c r="AK35" s="316"/>
      <c r="AL35" s="316"/>
      <c r="AM35" s="316"/>
      <c r="AN35" s="316"/>
      <c r="AO35" s="316"/>
      <c r="AP35" s="316"/>
      <c r="AQ35" s="316"/>
    </row>
    <row r="36" spans="1:43" s="317" customFormat="1" ht="17" customHeight="1" outlineLevel="1" x14ac:dyDescent="0.15">
      <c r="A36" s="353" t="s">
        <v>533</v>
      </c>
      <c r="B36" s="327"/>
      <c r="C36" s="327"/>
      <c r="D36" s="327"/>
      <c r="E36" s="327"/>
      <c r="F36" s="327"/>
      <c r="G36" s="328"/>
      <c r="H36" s="340">
        <f t="shared" ref="H36:Z36" si="37">H34/H5</f>
        <v>0.26959185032292426</v>
      </c>
      <c r="I36" s="341">
        <f t="shared" si="37"/>
        <v>0.26453971419076105</v>
      </c>
      <c r="J36" s="341">
        <f t="shared" si="37"/>
        <v>0.26459817564418397</v>
      </c>
      <c r="K36" s="341">
        <f t="shared" si="37"/>
        <v>0.26301133726712195</v>
      </c>
      <c r="L36" s="341">
        <f t="shared" si="37"/>
        <v>0.26530077894874649</v>
      </c>
      <c r="M36" s="341">
        <f t="shared" si="37"/>
        <v>0.26387338280685624</v>
      </c>
      <c r="N36" s="341">
        <f t="shared" si="37"/>
        <v>0.26338142105972762</v>
      </c>
      <c r="O36" s="341">
        <f t="shared" si="37"/>
        <v>0.26193522321729179</v>
      </c>
      <c r="P36" s="341">
        <f t="shared" si="37"/>
        <v>0.26314064752916505</v>
      </c>
      <c r="Q36" s="341">
        <f t="shared" si="37"/>
        <v>0.25839300965770978</v>
      </c>
      <c r="R36" s="341">
        <f t="shared" si="37"/>
        <v>0.26199360341151384</v>
      </c>
      <c r="S36" s="341">
        <f t="shared" si="37"/>
        <v>0.25580330870332835</v>
      </c>
      <c r="T36" s="341">
        <f t="shared" si="37"/>
        <v>0.26072884976373872</v>
      </c>
      <c r="U36" s="341">
        <f t="shared" si="37"/>
        <v>0.25510398778859</v>
      </c>
      <c r="V36" s="341">
        <f t="shared" si="37"/>
        <v>0.2450628366247756</v>
      </c>
      <c r="W36" s="341">
        <f t="shared" si="37"/>
        <v>0.24369269680682895</v>
      </c>
      <c r="X36" s="341">
        <f t="shared" si="37"/>
        <v>0.25347912524850896</v>
      </c>
      <c r="Y36" s="341">
        <f t="shared" si="37"/>
        <v>0.24814183014499816</v>
      </c>
      <c r="Z36" s="341">
        <f t="shared" si="37"/>
        <v>0.25034686613983231</v>
      </c>
      <c r="AA36" s="341">
        <f t="shared" ref="AA36:AE36" si="38">AA34/AA5</f>
        <v>0.24687685901249257</v>
      </c>
      <c r="AB36" s="341">
        <f t="shared" si="38"/>
        <v>0.27060204347776778</v>
      </c>
      <c r="AC36" s="341">
        <f t="shared" si="38"/>
        <v>0.27060204347776778</v>
      </c>
      <c r="AD36" s="341">
        <f t="shared" si="38"/>
        <v>0.27060204347776778</v>
      </c>
      <c r="AE36" s="341">
        <f t="shared" si="38"/>
        <v>0.27060204347776778</v>
      </c>
      <c r="AF36" s="331"/>
      <c r="AH36" s="316"/>
      <c r="AI36" s="316"/>
      <c r="AJ36" s="316"/>
      <c r="AK36" s="316"/>
      <c r="AL36" s="316"/>
      <c r="AM36" s="316"/>
    </row>
    <row r="37" spans="1:43" s="317" customFormat="1" ht="17" customHeight="1" outlineLevel="1" x14ac:dyDescent="0.15">
      <c r="A37" s="326" t="s">
        <v>532</v>
      </c>
      <c r="B37" s="327"/>
      <c r="C37" s="327"/>
      <c r="D37" s="327"/>
      <c r="E37" s="327"/>
      <c r="F37" s="327"/>
      <c r="G37" s="328"/>
      <c r="H37" s="329"/>
      <c r="I37" s="330"/>
      <c r="J37" s="330"/>
      <c r="K37" s="359"/>
      <c r="L37" s="330"/>
      <c r="M37" s="330"/>
      <c r="N37" s="330"/>
      <c r="O37" s="330"/>
      <c r="P37" s="330"/>
      <c r="Q37" s="330"/>
      <c r="R37" s="330"/>
      <c r="S37" s="330"/>
      <c r="T37" s="330"/>
      <c r="U37" s="330"/>
      <c r="V37" s="330"/>
      <c r="W37" s="330"/>
      <c r="X37" s="377">
        <f>X36*X7</f>
        <v>9632206.7594433408</v>
      </c>
      <c r="Y37" s="377">
        <f>Y36*Y7</f>
        <v>9429389.5455099307</v>
      </c>
      <c r="Z37" s="377">
        <f>Z36*Z7</f>
        <v>9513180.9133136272</v>
      </c>
      <c r="AA37" s="357">
        <f>Z37*(1+AA38)</f>
        <v>9513180.9133136272</v>
      </c>
      <c r="AB37" s="357">
        <f t="shared" ref="AB37:AE37" si="39">AA37*(1+AB38)</f>
        <v>10940158.050310671</v>
      </c>
      <c r="AC37" s="357">
        <f t="shared" si="39"/>
        <v>10940158.050310671</v>
      </c>
      <c r="AD37" s="357">
        <f t="shared" si="39"/>
        <v>10940158.050310671</v>
      </c>
      <c r="AE37" s="357">
        <f t="shared" si="39"/>
        <v>10940158.050310671</v>
      </c>
      <c r="AF37" s="331"/>
      <c r="AH37" s="316"/>
      <c r="AI37" s="316"/>
      <c r="AJ37" s="316"/>
      <c r="AK37" s="316"/>
      <c r="AL37" s="316"/>
      <c r="AM37" s="316"/>
    </row>
    <row r="38" spans="1:43" s="317" customFormat="1" ht="17" customHeight="1" outlineLevel="1" x14ac:dyDescent="0.15">
      <c r="A38" s="358" t="s">
        <v>387</v>
      </c>
      <c r="B38" s="327"/>
      <c r="C38" s="327"/>
      <c r="D38" s="327"/>
      <c r="E38" s="327"/>
      <c r="F38" s="327"/>
      <c r="G38" s="328"/>
      <c r="H38" s="329"/>
      <c r="I38" s="330"/>
      <c r="J38" s="330"/>
      <c r="K38" s="359"/>
      <c r="L38" s="330"/>
      <c r="M38" s="330"/>
      <c r="N38" s="330"/>
      <c r="O38" s="330"/>
      <c r="P38" s="330"/>
      <c r="Q38" s="330"/>
      <c r="R38" s="330"/>
      <c r="S38" s="330"/>
      <c r="T38" s="330"/>
      <c r="U38" s="330"/>
      <c r="V38" s="330"/>
      <c r="W38" s="330"/>
      <c r="X38" s="360"/>
      <c r="Y38" s="361">
        <f>(Y37-X37)/X37</f>
        <v>-2.1056152447575908E-2</v>
      </c>
      <c r="Z38" s="361">
        <f t="shared" ref="Z38" si="40">(Z37-Y37)/Y37</f>
        <v>8.8861921972028576E-3</v>
      </c>
      <c r="AA38" s="365">
        <v>0</v>
      </c>
      <c r="AB38" s="365">
        <v>0.15</v>
      </c>
      <c r="AC38" s="365">
        <v>0</v>
      </c>
      <c r="AD38" s="365">
        <v>0</v>
      </c>
      <c r="AE38" s="365">
        <v>0</v>
      </c>
      <c r="AF38" s="331"/>
      <c r="AH38" s="316"/>
      <c r="AI38" s="316"/>
      <c r="AJ38" s="316"/>
      <c r="AK38" s="316"/>
      <c r="AL38" s="316"/>
      <c r="AM38" s="316"/>
    </row>
    <row r="39" spans="1:43" s="317" customFormat="1" ht="17" customHeight="1" outlineLevel="1" x14ac:dyDescent="0.15">
      <c r="A39" s="326" t="s">
        <v>534</v>
      </c>
      <c r="B39" s="327"/>
      <c r="C39" s="327"/>
      <c r="D39" s="327"/>
      <c r="E39" s="327"/>
      <c r="F39" s="327"/>
      <c r="G39" s="328"/>
      <c r="H39" s="329"/>
      <c r="I39" s="330"/>
      <c r="J39" s="330"/>
      <c r="K39" s="359"/>
      <c r="L39" s="330"/>
      <c r="M39" s="330"/>
      <c r="N39" s="330"/>
      <c r="O39" s="330"/>
      <c r="P39" s="330"/>
      <c r="Q39" s="330"/>
      <c r="R39" s="330"/>
      <c r="S39" s="330"/>
      <c r="T39" s="330"/>
      <c r="U39" s="330"/>
      <c r="V39" s="330"/>
      <c r="W39" s="330"/>
      <c r="X39" s="364">
        <f>(X34*1000000)/X37</f>
        <v>42.357894736842098</v>
      </c>
      <c r="Y39" s="364">
        <f t="shared" ref="Y39:Z39" si="41">(Y34*1000000)/Y37</f>
        <v>43.194736842105264</v>
      </c>
      <c r="Z39" s="364">
        <f t="shared" si="41"/>
        <v>43.623684210526314</v>
      </c>
      <c r="AA39" s="364">
        <f>Z39*(1+AA40)</f>
        <v>43.623684210526314</v>
      </c>
      <c r="AB39" s="364">
        <f t="shared" ref="AB39" si="42">AA39*(1+AB40)</f>
        <v>45.804868421052632</v>
      </c>
      <c r="AC39" s="364">
        <f t="shared" ref="AC39" si="43">AB39*(1+AC40)</f>
        <v>45.804868421052632</v>
      </c>
      <c r="AD39" s="364">
        <f t="shared" ref="AD39" si="44">AC39*(1+AD40)</f>
        <v>45.804868421052632</v>
      </c>
      <c r="AE39" s="364">
        <f t="shared" ref="AE39" si="45">AD39*(1+AE40)</f>
        <v>45.804868421052632</v>
      </c>
      <c r="AF39" s="331"/>
      <c r="AH39" s="316"/>
      <c r="AI39" s="316"/>
      <c r="AJ39" s="316"/>
      <c r="AK39" s="316"/>
      <c r="AL39" s="316"/>
      <c r="AM39" s="316"/>
    </row>
    <row r="40" spans="1:43" s="317" customFormat="1" ht="17" customHeight="1" outlineLevel="1" x14ac:dyDescent="0.15">
      <c r="A40" s="358" t="s">
        <v>387</v>
      </c>
      <c r="B40" s="327"/>
      <c r="C40" s="327"/>
      <c r="D40" s="327"/>
      <c r="E40" s="327"/>
      <c r="F40" s="327"/>
      <c r="G40" s="328"/>
      <c r="H40" s="329"/>
      <c r="I40" s="330"/>
      <c r="J40" s="330"/>
      <c r="K40" s="359"/>
      <c r="L40" s="330"/>
      <c r="M40" s="330"/>
      <c r="N40" s="330"/>
      <c r="O40" s="330"/>
      <c r="P40" s="330"/>
      <c r="Q40" s="330"/>
      <c r="R40" s="330"/>
      <c r="S40" s="330"/>
      <c r="T40" s="330"/>
      <c r="U40" s="330"/>
      <c r="V40" s="330"/>
      <c r="W40" s="330"/>
      <c r="X40" s="360"/>
      <c r="Y40" s="361">
        <f>(Y39-X39)/X39</f>
        <v>1.975646123260457E-2</v>
      </c>
      <c r="Z40" s="361">
        <f t="shared" ref="Z40" si="46">(Z39-Y39)/Y39</f>
        <v>9.9305470939441143E-3</v>
      </c>
      <c r="AA40" s="362">
        <v>0</v>
      </c>
      <c r="AB40" s="365">
        <v>0.05</v>
      </c>
      <c r="AC40" s="365">
        <v>0</v>
      </c>
      <c r="AD40" s="365">
        <v>0</v>
      </c>
      <c r="AE40" s="365">
        <v>0</v>
      </c>
      <c r="AF40" s="331"/>
      <c r="AH40" s="316"/>
      <c r="AI40" s="316"/>
      <c r="AJ40" s="316"/>
      <c r="AK40" s="316"/>
      <c r="AL40" s="316"/>
      <c r="AM40" s="316"/>
    </row>
    <row r="41" spans="1:43" s="316" customFormat="1" x14ac:dyDescent="0.15">
      <c r="A41" s="353" t="s">
        <v>382</v>
      </c>
      <c r="H41" s="321">
        <v>143.33459999999999</v>
      </c>
      <c r="I41" s="325">
        <v>169.15</v>
      </c>
      <c r="J41" s="325">
        <v>175.6508</v>
      </c>
      <c r="K41" s="325">
        <v>180.89519999999999</v>
      </c>
      <c r="L41" s="325">
        <v>132.53310000000002</v>
      </c>
      <c r="M41" s="325">
        <v>173.17580000000001</v>
      </c>
      <c r="N41" s="325">
        <v>178.1592</v>
      </c>
      <c r="O41" s="325">
        <v>0</v>
      </c>
      <c r="P41" s="325">
        <v>157.78949999999998</v>
      </c>
      <c r="Q41" s="325">
        <v>173.83860000000001</v>
      </c>
      <c r="R41" s="325">
        <v>183.2312</v>
      </c>
      <c r="S41" s="325">
        <v>167.82479999999998</v>
      </c>
      <c r="T41" s="325">
        <v>162.7312</v>
      </c>
      <c r="U41" s="325">
        <v>163.64879999999999</v>
      </c>
      <c r="V41" s="325">
        <v>162.81719999999999</v>
      </c>
      <c r="W41" s="325">
        <v>173.0446</v>
      </c>
      <c r="X41" s="324">
        <v>189</v>
      </c>
      <c r="Y41" s="324">
        <v>188</v>
      </c>
      <c r="Z41" s="324">
        <v>182.9</v>
      </c>
      <c r="AA41" s="324">
        <f>(AA42*AA37)/1000000</f>
        <v>182.9</v>
      </c>
      <c r="AB41" s="324">
        <f t="shared" ref="AB41:AE41" si="47">(AB42*AB37)/1000000</f>
        <v>216.64505000000003</v>
      </c>
      <c r="AC41" s="324">
        <f t="shared" si="47"/>
        <v>216.64505000000003</v>
      </c>
      <c r="AD41" s="324">
        <f t="shared" si="47"/>
        <v>216.64505000000003</v>
      </c>
      <c r="AE41" s="324">
        <f t="shared" si="47"/>
        <v>216.64505000000003</v>
      </c>
      <c r="AF41" s="319"/>
      <c r="AH41" s="317"/>
      <c r="AI41" s="317"/>
      <c r="AN41" s="317"/>
      <c r="AO41" s="317"/>
      <c r="AP41" s="317"/>
      <c r="AQ41" s="317"/>
    </row>
    <row r="42" spans="1:43" s="316" customFormat="1" outlineLevel="1" x14ac:dyDescent="0.15">
      <c r="A42" s="366" t="s">
        <v>541</v>
      </c>
      <c r="H42" s="321"/>
      <c r="I42" s="325"/>
      <c r="J42" s="325"/>
      <c r="K42" s="325"/>
      <c r="L42" s="325"/>
      <c r="M42" s="325"/>
      <c r="N42" s="325"/>
      <c r="O42" s="325"/>
      <c r="P42" s="325"/>
      <c r="Q42" s="325"/>
      <c r="R42" s="325"/>
      <c r="S42" s="325"/>
      <c r="T42" s="325"/>
      <c r="U42" s="325"/>
      <c r="V42" s="325"/>
      <c r="W42" s="325"/>
      <c r="X42" s="378">
        <f>(X41*1000000)/X37</f>
        <v>19.621671826625384</v>
      </c>
      <c r="Y42" s="378">
        <f t="shared" ref="Y42" si="48">(Y41*1000000)/Y37</f>
        <v>19.937663948725238</v>
      </c>
      <c r="Z42" s="378">
        <f t="shared" ref="Z42" si="49">(Z41*1000000)/Z37</f>
        <v>19.22595624603678</v>
      </c>
      <c r="AA42" s="378">
        <f>Z42*(1+AA43)</f>
        <v>19.22595624603678</v>
      </c>
      <c r="AB42" s="378">
        <f t="shared" ref="AB42" si="50">AA42*(1+AB43)</f>
        <v>19.802734933417884</v>
      </c>
      <c r="AC42" s="378">
        <f t="shared" ref="AC42" si="51">AB42*(1+AC43)</f>
        <v>19.802734933417884</v>
      </c>
      <c r="AD42" s="378">
        <f t="shared" ref="AD42" si="52">AC42*(1+AD43)</f>
        <v>19.802734933417884</v>
      </c>
      <c r="AE42" s="378">
        <f t="shared" ref="AE42" si="53">AD42*(1+AE43)</f>
        <v>19.802734933417884</v>
      </c>
      <c r="AF42" s="319"/>
      <c r="AJ42" s="317"/>
      <c r="AK42" s="317"/>
      <c r="AL42" s="317"/>
      <c r="AM42" s="317"/>
    </row>
    <row r="43" spans="1:43" s="317" customFormat="1" ht="17" customHeight="1" outlineLevel="1" x14ac:dyDescent="0.15">
      <c r="A43" s="358" t="s">
        <v>387</v>
      </c>
      <c r="B43" s="327"/>
      <c r="C43" s="327"/>
      <c r="D43" s="327"/>
      <c r="E43" s="327"/>
      <c r="F43" s="327"/>
      <c r="G43" s="328"/>
      <c r="H43" s="329"/>
      <c r="I43" s="330"/>
      <c r="J43" s="330"/>
      <c r="K43" s="359"/>
      <c r="L43" s="330"/>
      <c r="M43" s="330"/>
      <c r="N43" s="330"/>
      <c r="O43" s="330"/>
      <c r="P43" s="330"/>
      <c r="Q43" s="330"/>
      <c r="R43" s="330"/>
      <c r="S43" s="330"/>
      <c r="T43" s="330"/>
      <c r="U43" s="330"/>
      <c r="V43" s="330"/>
      <c r="W43" s="330"/>
      <c r="X43" s="360"/>
      <c r="Y43" s="361">
        <f>(Y42-X42)/X42</f>
        <v>1.6104240499582295E-2</v>
      </c>
      <c r="Z43" s="361">
        <f>(Z42-Y42)/Y42</f>
        <v>-3.5696644527603349E-2</v>
      </c>
      <c r="AA43" s="362">
        <v>0</v>
      </c>
      <c r="AB43" s="365">
        <v>0.03</v>
      </c>
      <c r="AC43" s="365">
        <v>0</v>
      </c>
      <c r="AD43" s="365">
        <v>0</v>
      </c>
      <c r="AE43" s="365">
        <v>0</v>
      </c>
      <c r="AF43" s="331"/>
      <c r="AH43" s="316"/>
      <c r="AI43" s="316"/>
      <c r="AJ43" s="316"/>
      <c r="AK43" s="316"/>
      <c r="AL43" s="316"/>
      <c r="AM43" s="316"/>
      <c r="AN43" s="316"/>
      <c r="AO43" s="316"/>
      <c r="AP43" s="316"/>
      <c r="AQ43" s="316"/>
    </row>
    <row r="44" spans="1:43" s="316" customFormat="1" x14ac:dyDescent="0.15">
      <c r="A44" s="353" t="s">
        <v>383</v>
      </c>
      <c r="H44" s="321">
        <v>91.507400000000004</v>
      </c>
      <c r="I44" s="325">
        <v>79.201999999999998</v>
      </c>
      <c r="J44" s="325">
        <v>77.492999999999995</v>
      </c>
      <c r="K44" s="325">
        <v>78.149899999999988</v>
      </c>
      <c r="L44" s="325">
        <v>81.870599999999996</v>
      </c>
      <c r="M44" s="325">
        <v>80.761800000000008</v>
      </c>
      <c r="N44" s="325">
        <v>75.795799999999986</v>
      </c>
      <c r="O44" s="325">
        <v>0</v>
      </c>
      <c r="P44" s="325">
        <v>74.277500000000003</v>
      </c>
      <c r="Q44" s="325">
        <v>73.5471</v>
      </c>
      <c r="R44" s="325">
        <v>74.707999999999998</v>
      </c>
      <c r="S44" s="325">
        <v>80.978399999999993</v>
      </c>
      <c r="T44" s="325">
        <v>77.740400000000008</v>
      </c>
      <c r="U44" s="325">
        <v>79.818899999999999</v>
      </c>
      <c r="V44" s="325">
        <v>78.350999999999999</v>
      </c>
      <c r="W44" s="325">
        <v>96.735399999999998</v>
      </c>
      <c r="X44" s="324">
        <f>X34*X45</f>
        <v>87.72</v>
      </c>
      <c r="Y44" s="324">
        <f>Y34*Y45</f>
        <v>87.569500000000005</v>
      </c>
      <c r="Z44" s="324">
        <f>Z34*Z45</f>
        <v>92.960000000000008</v>
      </c>
      <c r="AA44" s="324">
        <f>AA34*AA45</f>
        <v>90.47</v>
      </c>
      <c r="AB44" s="324">
        <f t="shared" ref="AB44:AE44" si="54">AB34*AB45</f>
        <v>102.72806249999999</v>
      </c>
      <c r="AC44" s="324">
        <f t="shared" si="54"/>
        <v>102.72806249999999</v>
      </c>
      <c r="AD44" s="324">
        <f t="shared" si="54"/>
        <v>102.72806249999999</v>
      </c>
      <c r="AE44" s="324">
        <f t="shared" si="54"/>
        <v>102.72806249999999</v>
      </c>
      <c r="AF44" s="319"/>
      <c r="AN44" s="317"/>
      <c r="AO44" s="317"/>
      <c r="AP44" s="317"/>
      <c r="AQ44" s="317"/>
    </row>
    <row r="45" spans="1:43" s="316" customFormat="1" x14ac:dyDescent="0.15">
      <c r="A45" s="353" t="s">
        <v>384</v>
      </c>
      <c r="H45" s="379">
        <v>0.22600000000000001</v>
      </c>
      <c r="I45" s="380">
        <v>0.19899999999999998</v>
      </c>
      <c r="J45" s="380">
        <v>0.19500000000000001</v>
      </c>
      <c r="K45" s="380">
        <v>0.19699999999999998</v>
      </c>
      <c r="L45" s="380">
        <v>0.20199999999999999</v>
      </c>
      <c r="M45" s="380">
        <v>0.20100000000000001</v>
      </c>
      <c r="N45" s="380">
        <v>0.19399999999999998</v>
      </c>
      <c r="O45" s="380">
        <v>0</v>
      </c>
      <c r="P45" s="380">
        <v>0.185</v>
      </c>
      <c r="Q45" s="380">
        <v>0.187</v>
      </c>
      <c r="R45" s="380">
        <v>0.19</v>
      </c>
      <c r="S45" s="380">
        <v>0.20699999999999999</v>
      </c>
      <c r="T45" s="380">
        <v>0.193</v>
      </c>
      <c r="U45" s="380">
        <v>0.19899999999999998</v>
      </c>
      <c r="V45" s="380">
        <v>0.20499999999999999</v>
      </c>
      <c r="W45" s="380">
        <v>0.251</v>
      </c>
      <c r="X45" s="300">
        <v>0.215</v>
      </c>
      <c r="Y45" s="300">
        <v>0.215</v>
      </c>
      <c r="Z45" s="300">
        <v>0.224</v>
      </c>
      <c r="AA45" s="368">
        <f>AVERAGE(X45:Z45)</f>
        <v>0.218</v>
      </c>
      <c r="AB45" s="313">
        <v>0.20499999999999999</v>
      </c>
      <c r="AC45" s="313">
        <v>0.20499999999999999</v>
      </c>
      <c r="AD45" s="313">
        <v>0.20499999999999999</v>
      </c>
      <c r="AE45" s="313">
        <v>0.20499999999999999</v>
      </c>
      <c r="AF45" s="319"/>
    </row>
    <row r="46" spans="1:43" s="316" customFormat="1" x14ac:dyDescent="0.15">
      <c r="A46" s="353" t="s">
        <v>273</v>
      </c>
      <c r="H46" s="379">
        <v>0.35399999999999998</v>
      </c>
      <c r="I46" s="380">
        <v>0.42499999999999999</v>
      </c>
      <c r="J46" s="380">
        <v>0.442</v>
      </c>
      <c r="K46" s="380">
        <v>0.45600000000000002</v>
      </c>
      <c r="L46" s="380">
        <v>0.32700000000000001</v>
      </c>
      <c r="M46" s="380">
        <v>0.43099999999999999</v>
      </c>
      <c r="N46" s="380">
        <v>0.45600000000000002</v>
      </c>
      <c r="O46" s="380">
        <v>0</v>
      </c>
      <c r="P46" s="380">
        <v>0.39299999999999996</v>
      </c>
      <c r="Q46" s="380">
        <v>0.442</v>
      </c>
      <c r="R46" s="380">
        <v>0.46600000000000003</v>
      </c>
      <c r="S46" s="380">
        <v>0.42899999999999999</v>
      </c>
      <c r="T46" s="380">
        <v>0.40399999999999997</v>
      </c>
      <c r="U46" s="380">
        <v>0.40799999999999997</v>
      </c>
      <c r="V46" s="380">
        <v>0.42599999999999999</v>
      </c>
      <c r="W46" s="380">
        <v>0.44900000000000001</v>
      </c>
      <c r="X46" s="370">
        <f>X41/X34</f>
        <v>0.46323529411764708</v>
      </c>
      <c r="Y46" s="370">
        <f t="shared" ref="Y46:AE46" si="55">Y41/Y34</f>
        <v>0.46157623373434814</v>
      </c>
      <c r="Z46" s="370">
        <f t="shared" si="55"/>
        <v>0.4407228915662651</v>
      </c>
      <c r="AA46" s="370">
        <f t="shared" si="55"/>
        <v>0.4407228915662651</v>
      </c>
      <c r="AB46" s="370">
        <f t="shared" si="55"/>
        <v>0.43232816982214578</v>
      </c>
      <c r="AC46" s="370">
        <f t="shared" si="55"/>
        <v>0.43232816982214578</v>
      </c>
      <c r="AD46" s="370">
        <f t="shared" si="55"/>
        <v>0.43232816982214578</v>
      </c>
      <c r="AE46" s="370">
        <f t="shared" si="55"/>
        <v>0.43232816982214578</v>
      </c>
      <c r="AF46" s="319"/>
    </row>
    <row r="47" spans="1:43" s="316" customFormat="1" x14ac:dyDescent="0.15">
      <c r="A47" s="353" t="s">
        <v>82</v>
      </c>
      <c r="H47" s="321">
        <v>170.05799999999994</v>
      </c>
      <c r="I47" s="325">
        <v>149.648</v>
      </c>
      <c r="J47" s="325">
        <v>144.25619999999998</v>
      </c>
      <c r="K47" s="325">
        <v>137.6549</v>
      </c>
      <c r="L47" s="325">
        <v>190.89629999999997</v>
      </c>
      <c r="M47" s="325">
        <v>147.86239999999998</v>
      </c>
      <c r="N47" s="325">
        <v>136.745</v>
      </c>
      <c r="O47" s="325">
        <v>389</v>
      </c>
      <c r="P47" s="325">
        <v>169.43300000000002</v>
      </c>
      <c r="Q47" s="325">
        <v>145.9143</v>
      </c>
      <c r="R47" s="325">
        <v>135.26079999999999</v>
      </c>
      <c r="S47" s="325">
        <v>142.39680000000001</v>
      </c>
      <c r="T47" s="325">
        <v>162.32839999999999</v>
      </c>
      <c r="U47" s="325">
        <v>157.63230000000004</v>
      </c>
      <c r="V47" s="325">
        <v>141.0318</v>
      </c>
      <c r="W47" s="325">
        <v>115.61999999999998</v>
      </c>
      <c r="X47" s="324">
        <f>X34-X41-X44</f>
        <v>131.28</v>
      </c>
      <c r="Y47" s="324">
        <f>Y34-Y41-Y44</f>
        <v>131.73050000000001</v>
      </c>
      <c r="Z47" s="324">
        <f>Z34-Z41-Z44</f>
        <v>139.13999999999999</v>
      </c>
      <c r="AA47" s="324">
        <f>AA34-AA41-AA44</f>
        <v>141.63</v>
      </c>
      <c r="AB47" s="324">
        <f t="shared" ref="AB47:AE47" si="56">AB34-AB41-AB44</f>
        <v>181.73938749999999</v>
      </c>
      <c r="AC47" s="324">
        <f t="shared" si="56"/>
        <v>181.73938749999999</v>
      </c>
      <c r="AD47" s="324">
        <f t="shared" si="56"/>
        <v>181.73938749999999</v>
      </c>
      <c r="AE47" s="324">
        <f t="shared" si="56"/>
        <v>181.73938749999999</v>
      </c>
      <c r="AF47" s="325"/>
    </row>
    <row r="48" spans="1:43" s="316" customFormat="1" x14ac:dyDescent="0.15">
      <c r="A48" s="353" t="s">
        <v>385</v>
      </c>
      <c r="G48" s="332"/>
      <c r="H48" s="332">
        <v>0.68378769601930012</v>
      </c>
      <c r="I48" s="354">
        <v>0.59313515655965121</v>
      </c>
      <c r="J48" s="354">
        <v>0.56726779394416038</v>
      </c>
      <c r="K48" s="354">
        <v>0.52660635042081105</v>
      </c>
      <c r="L48" s="354">
        <v>0.72556556442417308</v>
      </c>
      <c r="M48" s="354">
        <v>0.56479144385026725</v>
      </c>
      <c r="N48" s="354">
        <v>0.58967227253126353</v>
      </c>
      <c r="O48" s="354">
        <v>2.0669500531349629</v>
      </c>
      <c r="P48" s="354">
        <v>1.1807177700348435</v>
      </c>
      <c r="Q48" s="354">
        <v>1.261143474503025</v>
      </c>
      <c r="R48" s="354">
        <v>0.75438259899609583</v>
      </c>
      <c r="S48" s="354">
        <v>1.6090033898305087</v>
      </c>
      <c r="T48" s="354">
        <v>1.9942063882063878</v>
      </c>
      <c r="U48" s="354">
        <v>0.91860314685314715</v>
      </c>
      <c r="V48" s="354">
        <v>0.47742654028436021</v>
      </c>
      <c r="W48" s="354">
        <v>0.42043636363636355</v>
      </c>
      <c r="X48" s="300">
        <f>X47/X13</f>
        <v>0.54450661346583784</v>
      </c>
      <c r="Y48" s="300">
        <f>Y47/Y13</f>
        <v>0.48771010736764137</v>
      </c>
      <c r="Z48" s="300">
        <f>Z47/Z13</f>
        <v>0.525197317017012</v>
      </c>
      <c r="AA48" s="300">
        <f t="shared" ref="AA48:AE48" si="57">AA47/AA13</f>
        <v>0.48228423543833965</v>
      </c>
      <c r="AB48" s="300">
        <f t="shared" si="57"/>
        <v>0.50072012166322144</v>
      </c>
      <c r="AC48" s="300">
        <f t="shared" si="57"/>
        <v>0.50072012166322144</v>
      </c>
      <c r="AD48" s="300">
        <f t="shared" si="57"/>
        <v>0.50072012166322144</v>
      </c>
      <c r="AE48" s="300">
        <f t="shared" si="57"/>
        <v>0.50072012166322144</v>
      </c>
      <c r="AF48" s="319"/>
    </row>
    <row r="49" spans="1:43" s="316" customFormat="1" x14ac:dyDescent="0.15">
      <c r="A49" s="353"/>
      <c r="H49" s="379"/>
      <c r="I49" s="380"/>
      <c r="J49" s="380"/>
      <c r="K49" s="380"/>
      <c r="L49" s="380"/>
      <c r="M49" s="380"/>
      <c r="N49" s="380"/>
      <c r="O49" s="380"/>
      <c r="P49" s="380"/>
      <c r="Q49" s="380"/>
      <c r="R49" s="380"/>
      <c r="S49" s="380"/>
      <c r="T49" s="380"/>
      <c r="U49" s="380"/>
      <c r="V49" s="380"/>
      <c r="W49" s="380"/>
      <c r="X49" s="370"/>
      <c r="Y49" s="370"/>
      <c r="Z49" s="370"/>
      <c r="AA49" s="376"/>
      <c r="AB49" s="370"/>
      <c r="AC49" s="370"/>
      <c r="AD49" s="370"/>
      <c r="AE49" s="376"/>
      <c r="AF49" s="319"/>
    </row>
    <row r="50" spans="1:43" s="316" customFormat="1" x14ac:dyDescent="0.15">
      <c r="A50" s="381" t="s">
        <v>388</v>
      </c>
      <c r="I50" s="319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75"/>
      <c r="Y50" s="375"/>
      <c r="Z50" s="375"/>
      <c r="AA50" s="376"/>
      <c r="AB50" s="375"/>
      <c r="AC50" s="375"/>
      <c r="AD50" s="375"/>
      <c r="AE50" s="376"/>
      <c r="AF50" s="319"/>
    </row>
    <row r="51" spans="1:43" s="316" customFormat="1" x14ac:dyDescent="0.15">
      <c r="A51" s="353" t="s">
        <v>381</v>
      </c>
      <c r="H51" s="321">
        <v>455.40000000000009</v>
      </c>
      <c r="I51" s="325">
        <v>461.70000000000005</v>
      </c>
      <c r="J51" s="325">
        <v>456.50000000000011</v>
      </c>
      <c r="K51" s="325">
        <v>1111.5999999999999</v>
      </c>
      <c r="L51" s="325">
        <v>456.2</v>
      </c>
      <c r="M51" s="325">
        <v>456.50000000000006</v>
      </c>
      <c r="N51" s="325">
        <v>446.00000000000006</v>
      </c>
      <c r="O51" s="325">
        <v>1096.0999999999999</v>
      </c>
      <c r="P51" s="325">
        <v>451.4</v>
      </c>
      <c r="Q51" s="325">
        <v>456.59999999999985</v>
      </c>
      <c r="R51" s="325">
        <v>443.8</v>
      </c>
      <c r="S51" s="325">
        <v>455.2</v>
      </c>
      <c r="T51" s="325">
        <v>456.60000000000008</v>
      </c>
      <c r="U51" s="325">
        <v>464.69999999999993</v>
      </c>
      <c r="V51" s="325">
        <v>464.2999999999999</v>
      </c>
      <c r="W51" s="325">
        <v>463.20000000000005</v>
      </c>
      <c r="X51" s="324">
        <v>456</v>
      </c>
      <c r="Y51" s="324">
        <v>461</v>
      </c>
      <c r="Z51" s="324">
        <v>491</v>
      </c>
      <c r="AA51" s="324">
        <f>(AA56*AA54)/1000000</f>
        <v>491</v>
      </c>
      <c r="AB51" s="324">
        <f t="shared" ref="AB51:AE51" si="58">(AB56*AB54)/1000000</f>
        <v>520.70550000000014</v>
      </c>
      <c r="AC51" s="324">
        <f t="shared" si="58"/>
        <v>520.70550000000014</v>
      </c>
      <c r="AD51" s="324">
        <f t="shared" si="58"/>
        <v>520.70550000000014</v>
      </c>
      <c r="AE51" s="324">
        <f t="shared" si="58"/>
        <v>520.70550000000014</v>
      </c>
      <c r="AF51" s="319"/>
    </row>
    <row r="52" spans="1:43" s="317" customFormat="1" ht="17" customHeight="1" outlineLevel="1" x14ac:dyDescent="0.15">
      <c r="A52" s="326" t="s">
        <v>387</v>
      </c>
      <c r="B52" s="327"/>
      <c r="C52" s="327"/>
      <c r="D52" s="327"/>
      <c r="E52" s="327"/>
      <c r="F52" s="327"/>
      <c r="G52" s="328"/>
      <c r="H52" s="329"/>
      <c r="I52" s="330">
        <f>(I51-H51)/H51</f>
        <v>1.3833992094861558E-2</v>
      </c>
      <c r="J52" s="330">
        <f t="shared" ref="J52" si="59">(J51-I51)/I51</f>
        <v>-1.1262724713016961E-2</v>
      </c>
      <c r="K52" s="330">
        <f t="shared" ref="K52" si="60">(K51-J51)/J51</f>
        <v>1.4350492880613355</v>
      </c>
      <c r="L52" s="330">
        <f t="shared" ref="L52" si="61">(L51-K51)/K51</f>
        <v>-0.58960057574667135</v>
      </c>
      <c r="M52" s="330">
        <f t="shared" ref="M52" si="62">(M51-L51)/L51</f>
        <v>6.5760631302075453E-4</v>
      </c>
      <c r="N52" s="330">
        <f t="shared" ref="N52" si="63">(N51-M51)/M51</f>
        <v>-2.3001095290251915E-2</v>
      </c>
      <c r="O52" s="330">
        <f t="shared" ref="O52" si="64">(O51-N51)/N51</f>
        <v>1.4576233183856497</v>
      </c>
      <c r="P52" s="330">
        <f t="shared" ref="P52" si="65">(P51-O51)/O51</f>
        <v>-0.58817626129002831</v>
      </c>
      <c r="Q52" s="330">
        <f t="shared" ref="Q52" si="66">(Q51-P51)/P51</f>
        <v>1.1519716437748947E-2</v>
      </c>
      <c r="R52" s="330">
        <f t="shared" ref="R52" si="67">(R51-Q51)/Q51</f>
        <v>-2.80332895313181E-2</v>
      </c>
      <c r="S52" s="330">
        <f t="shared" ref="S52" si="68">(S51-R51)/R51</f>
        <v>2.5687246507435729E-2</v>
      </c>
      <c r="T52" s="330">
        <f t="shared" ref="T52" si="69">(T51-S51)/S51</f>
        <v>3.0755711775045935E-3</v>
      </c>
      <c r="U52" s="330">
        <f t="shared" ref="U52" si="70">(U51-T51)/T51</f>
        <v>1.7739816031537126E-2</v>
      </c>
      <c r="V52" s="330">
        <f t="shared" ref="V52" si="71">(V51-U51)/U51</f>
        <v>-8.6077038949867481E-4</v>
      </c>
      <c r="W52" s="330">
        <f t="shared" ref="W52" si="72">(W51-V51)/V51</f>
        <v>-2.3691578720651573E-3</v>
      </c>
      <c r="X52" s="330">
        <f t="shared" ref="X52" si="73">(X51-W51)/W51</f>
        <v>-1.5544041450777299E-2</v>
      </c>
      <c r="Y52" s="330">
        <f t="shared" ref="Y52" si="74">(Y51-X51)/X51</f>
        <v>1.0964912280701754E-2</v>
      </c>
      <c r="Z52" s="330">
        <f t="shared" ref="Z52" si="75">(Z51-Y51)/Y51</f>
        <v>6.5075921908893705E-2</v>
      </c>
      <c r="AA52" s="361">
        <f>(AA51-Z51)/Z51</f>
        <v>0</v>
      </c>
      <c r="AB52" s="361">
        <f t="shared" ref="AB52:AC52" si="76">(AB51-AA51)/AA51</f>
        <v>6.050000000000029E-2</v>
      </c>
      <c r="AC52" s="361">
        <f t="shared" si="76"/>
        <v>0</v>
      </c>
      <c r="AD52" s="361">
        <f>(AD51-AC51)/AC51</f>
        <v>0</v>
      </c>
      <c r="AE52" s="361">
        <f>(AE51-AD51)/AD51</f>
        <v>0</v>
      </c>
      <c r="AF52" s="331"/>
      <c r="AH52" s="316"/>
      <c r="AI52" s="316"/>
      <c r="AJ52" s="316"/>
      <c r="AK52" s="316"/>
      <c r="AL52" s="316"/>
      <c r="AM52" s="316"/>
      <c r="AN52" s="316"/>
      <c r="AO52" s="316"/>
      <c r="AP52" s="316"/>
      <c r="AQ52" s="316"/>
    </row>
    <row r="53" spans="1:43" s="317" customFormat="1" ht="17" customHeight="1" outlineLevel="1" x14ac:dyDescent="0.15">
      <c r="A53" s="353" t="s">
        <v>533</v>
      </c>
      <c r="B53" s="327"/>
      <c r="C53" s="327"/>
      <c r="D53" s="327"/>
      <c r="E53" s="327"/>
      <c r="F53" s="327"/>
      <c r="G53" s="328"/>
      <c r="H53" s="340">
        <f t="shared" ref="H53:Z53" si="77">H51/H5</f>
        <v>0.30321592649310875</v>
      </c>
      <c r="I53" s="341">
        <f t="shared" si="77"/>
        <v>0.30687936191425724</v>
      </c>
      <c r="J53" s="341">
        <f t="shared" si="77"/>
        <v>0.30394833211265737</v>
      </c>
      <c r="K53" s="341">
        <f t="shared" si="77"/>
        <v>0.736988662732878</v>
      </c>
      <c r="L53" s="341">
        <f t="shared" si="77"/>
        <v>0.29861883877724682</v>
      </c>
      <c r="M53" s="341">
        <f t="shared" si="77"/>
        <v>0.29979641426413611</v>
      </c>
      <c r="N53" s="341">
        <f t="shared" si="77"/>
        <v>0.30066064446541729</v>
      </c>
      <c r="O53" s="341">
        <f t="shared" si="77"/>
        <v>0.73806477678270821</v>
      </c>
      <c r="P53" s="341">
        <f t="shared" si="77"/>
        <v>0.29584480272643859</v>
      </c>
      <c r="Q53" s="341">
        <f t="shared" si="77"/>
        <v>0.29998029038827928</v>
      </c>
      <c r="R53" s="341">
        <f t="shared" si="77"/>
        <v>0.29570895522388063</v>
      </c>
      <c r="S53" s="341">
        <f t="shared" si="77"/>
        <v>0.29765252076113252</v>
      </c>
      <c r="T53" s="341">
        <f t="shared" si="77"/>
        <v>0.29555311023367209</v>
      </c>
      <c r="U53" s="341">
        <f t="shared" si="77"/>
        <v>0.29555428353367674</v>
      </c>
      <c r="V53" s="341">
        <f t="shared" si="77"/>
        <v>0.29770453962554494</v>
      </c>
      <c r="W53" s="341">
        <f t="shared" si="77"/>
        <v>0.29288650015807782</v>
      </c>
      <c r="X53" s="341">
        <f t="shared" si="77"/>
        <v>0.28330019880715707</v>
      </c>
      <c r="Y53" s="341">
        <f t="shared" si="77"/>
        <v>0.28085780431339097</v>
      </c>
      <c r="Z53" s="341">
        <f t="shared" si="77"/>
        <v>0.29619352114375336</v>
      </c>
      <c r="AA53" s="341">
        <f t="shared" ref="AA53:AE53" si="78">AA51/AA5</f>
        <v>0.29208804283164785</v>
      </c>
      <c r="AB53" s="341">
        <f t="shared" si="78"/>
        <v>0.28118231405146121</v>
      </c>
      <c r="AC53" s="341">
        <f t="shared" si="78"/>
        <v>0.28118231405146121</v>
      </c>
      <c r="AD53" s="341">
        <f t="shared" si="78"/>
        <v>0.28118231405146121</v>
      </c>
      <c r="AE53" s="341">
        <f t="shared" si="78"/>
        <v>0.28118231405146121</v>
      </c>
      <c r="AF53" s="331"/>
      <c r="AH53" s="316"/>
      <c r="AI53" s="316"/>
      <c r="AJ53" s="316"/>
      <c r="AK53" s="316"/>
      <c r="AL53" s="316"/>
      <c r="AM53" s="316"/>
    </row>
    <row r="54" spans="1:43" s="317" customFormat="1" ht="17" customHeight="1" outlineLevel="1" x14ac:dyDescent="0.15">
      <c r="A54" s="326" t="s">
        <v>532</v>
      </c>
      <c r="B54" s="327"/>
      <c r="C54" s="327"/>
      <c r="D54" s="327"/>
      <c r="E54" s="327"/>
      <c r="F54" s="327"/>
      <c r="G54" s="328"/>
      <c r="H54" s="329"/>
      <c r="I54" s="330"/>
      <c r="J54" s="330"/>
      <c r="K54" s="330"/>
      <c r="L54" s="330"/>
      <c r="M54" s="330"/>
      <c r="N54" s="330"/>
      <c r="O54" s="330"/>
      <c r="P54" s="330"/>
      <c r="Q54" s="330"/>
      <c r="R54" s="330"/>
      <c r="S54" s="330"/>
      <c r="T54" s="330"/>
      <c r="U54" s="330"/>
      <c r="V54" s="330"/>
      <c r="W54" s="330"/>
      <c r="X54" s="334">
        <f>X53*X7</f>
        <v>10765407.554671969</v>
      </c>
      <c r="Y54" s="334">
        <f>Y53*Y7</f>
        <v>10672596.563908856</v>
      </c>
      <c r="Z54" s="334">
        <f>Z53*Z7</f>
        <v>11255353.803462628</v>
      </c>
      <c r="AA54" s="357">
        <f>Z54*(1+AA55)</f>
        <v>11255353.803462628</v>
      </c>
      <c r="AB54" s="357">
        <f t="shared" ref="AB54" si="79">AA54*(1+AB55)</f>
        <v>11367907.341497255</v>
      </c>
      <c r="AC54" s="357">
        <f t="shared" ref="AC54" si="80">AB54*(1+AC55)</f>
        <v>11367907.341497255</v>
      </c>
      <c r="AD54" s="357">
        <f t="shared" ref="AD54" si="81">AC54*(1+AD55)</f>
        <v>11367907.341497255</v>
      </c>
      <c r="AE54" s="357">
        <f t="shared" ref="AE54" si="82">AD54*(1+AE55)</f>
        <v>11367907.341497255</v>
      </c>
      <c r="AF54" s="331"/>
      <c r="AH54" s="316"/>
      <c r="AI54" s="316"/>
      <c r="AJ54" s="316"/>
      <c r="AK54" s="316"/>
      <c r="AL54" s="316"/>
      <c r="AM54" s="316"/>
    </row>
    <row r="55" spans="1:43" s="317" customFormat="1" ht="17" customHeight="1" outlineLevel="1" x14ac:dyDescent="0.15">
      <c r="A55" s="358" t="s">
        <v>387</v>
      </c>
      <c r="B55" s="327"/>
      <c r="C55" s="327"/>
      <c r="D55" s="327"/>
      <c r="E55" s="327"/>
      <c r="F55" s="327"/>
      <c r="G55" s="328"/>
      <c r="H55" s="329"/>
      <c r="I55" s="330"/>
      <c r="J55" s="330"/>
      <c r="K55" s="359"/>
      <c r="L55" s="330"/>
      <c r="M55" s="330"/>
      <c r="N55" s="330"/>
      <c r="O55" s="330"/>
      <c r="P55" s="330"/>
      <c r="Q55" s="330"/>
      <c r="R55" s="330"/>
      <c r="S55" s="330"/>
      <c r="T55" s="330"/>
      <c r="U55" s="330"/>
      <c r="V55" s="330"/>
      <c r="W55" s="330"/>
      <c r="X55" s="360"/>
      <c r="Y55" s="361">
        <f>(Y54-X54)/X54</f>
        <v>-8.6212240727323707E-3</v>
      </c>
      <c r="Z55" s="361">
        <f t="shared" ref="Z55" si="83">(Z54-Y54)/Y54</f>
        <v>5.4603135803377174E-2</v>
      </c>
      <c r="AA55" s="362">
        <v>0</v>
      </c>
      <c r="AB55" s="362">
        <v>0.01</v>
      </c>
      <c r="AC55" s="362">
        <v>0</v>
      </c>
      <c r="AD55" s="362">
        <v>0</v>
      </c>
      <c r="AE55" s="362">
        <v>0</v>
      </c>
      <c r="AF55" s="331"/>
      <c r="AH55" s="316"/>
      <c r="AI55" s="316"/>
      <c r="AJ55" s="316"/>
      <c r="AK55" s="316"/>
      <c r="AL55" s="316"/>
      <c r="AM55" s="316"/>
    </row>
    <row r="56" spans="1:43" s="317" customFormat="1" ht="17" customHeight="1" outlineLevel="1" x14ac:dyDescent="0.15">
      <c r="A56" s="326" t="s">
        <v>534</v>
      </c>
      <c r="B56" s="327"/>
      <c r="C56" s="327"/>
      <c r="D56" s="327"/>
      <c r="E56" s="327"/>
      <c r="F56" s="327"/>
      <c r="G56" s="328"/>
      <c r="H56" s="329"/>
      <c r="I56" s="330"/>
      <c r="J56" s="330"/>
      <c r="K56" s="330"/>
      <c r="L56" s="330"/>
      <c r="M56" s="330"/>
      <c r="N56" s="330"/>
      <c r="O56" s="330"/>
      <c r="P56" s="330"/>
      <c r="Q56" s="330"/>
      <c r="R56" s="330"/>
      <c r="S56" s="330"/>
      <c r="T56" s="330"/>
      <c r="U56" s="330"/>
      <c r="V56" s="330"/>
      <c r="W56" s="330"/>
      <c r="X56" s="364">
        <f>(X51*1000000)/X54</f>
        <v>42.357894736842098</v>
      </c>
      <c r="Y56" s="364">
        <f t="shared" ref="Y56:Z56" si="84">(Y51*1000000)/Y54</f>
        <v>43.194736842105272</v>
      </c>
      <c r="Z56" s="364">
        <f t="shared" si="84"/>
        <v>43.623684210526321</v>
      </c>
      <c r="AA56" s="364">
        <f>Z56*(1+AA57)</f>
        <v>43.623684210526321</v>
      </c>
      <c r="AB56" s="364">
        <f>AA56*(1+AB57)</f>
        <v>45.804868421052639</v>
      </c>
      <c r="AC56" s="364">
        <f t="shared" ref="AC56:AD56" si="85">AB56*(1+AC57)</f>
        <v>45.804868421052639</v>
      </c>
      <c r="AD56" s="364">
        <f t="shared" si="85"/>
        <v>45.804868421052639</v>
      </c>
      <c r="AE56" s="364">
        <f t="shared" ref="AE56" si="86">AD56*(1+AE57)</f>
        <v>45.804868421052639</v>
      </c>
      <c r="AF56" s="331"/>
      <c r="AH56" s="316"/>
      <c r="AI56" s="316"/>
      <c r="AJ56" s="316"/>
      <c r="AK56" s="316"/>
      <c r="AL56" s="316"/>
      <c r="AM56" s="316"/>
    </row>
    <row r="57" spans="1:43" s="317" customFormat="1" ht="17" customHeight="1" outlineLevel="1" x14ac:dyDescent="0.15">
      <c r="A57" s="358" t="s">
        <v>387</v>
      </c>
      <c r="B57" s="327"/>
      <c r="C57" s="327"/>
      <c r="D57" s="327"/>
      <c r="E57" s="327"/>
      <c r="F57" s="327"/>
      <c r="G57" s="328"/>
      <c r="H57" s="329"/>
      <c r="I57" s="330"/>
      <c r="J57" s="330"/>
      <c r="K57" s="359"/>
      <c r="L57" s="330"/>
      <c r="M57" s="330"/>
      <c r="N57" s="330"/>
      <c r="O57" s="330"/>
      <c r="P57" s="330"/>
      <c r="Q57" s="330"/>
      <c r="R57" s="330"/>
      <c r="S57" s="330"/>
      <c r="T57" s="330"/>
      <c r="U57" s="330"/>
      <c r="V57" s="330"/>
      <c r="W57" s="330"/>
      <c r="X57" s="360"/>
      <c r="Y57" s="361">
        <f>(Y56-X56)/X56</f>
        <v>1.9756461232604737E-2</v>
      </c>
      <c r="Z57" s="361">
        <f t="shared" ref="Z57" si="87">(Z56-Y56)/Y56</f>
        <v>9.9305470939441125E-3</v>
      </c>
      <c r="AA57" s="362">
        <v>0</v>
      </c>
      <c r="AB57" s="365">
        <v>0.05</v>
      </c>
      <c r="AC57" s="365">
        <v>0</v>
      </c>
      <c r="AD57" s="365">
        <v>0</v>
      </c>
      <c r="AE57" s="365">
        <v>0</v>
      </c>
      <c r="AF57" s="331"/>
      <c r="AH57" s="316"/>
      <c r="AI57" s="316"/>
      <c r="AJ57" s="316"/>
      <c r="AK57" s="316"/>
      <c r="AL57" s="316"/>
      <c r="AM57" s="316"/>
    </row>
    <row r="58" spans="1:43" s="316" customFormat="1" x14ac:dyDescent="0.15">
      <c r="A58" s="353" t="s">
        <v>382</v>
      </c>
      <c r="H58" s="321">
        <v>322.87860000000012</v>
      </c>
      <c r="I58" s="325">
        <v>336.5793000000001</v>
      </c>
      <c r="J58" s="325">
        <v>328.68000000000006</v>
      </c>
      <c r="K58" s="325">
        <v>797.0172</v>
      </c>
      <c r="L58" s="325">
        <v>322.07719999999995</v>
      </c>
      <c r="M58" s="325">
        <v>373.41700000000003</v>
      </c>
      <c r="N58" s="325">
        <v>0</v>
      </c>
      <c r="O58" s="325">
        <v>0</v>
      </c>
      <c r="P58" s="325">
        <v>445.98319999999995</v>
      </c>
      <c r="Q58" s="325">
        <v>389.02319999999986</v>
      </c>
      <c r="R58" s="325">
        <v>446.46280000000002</v>
      </c>
      <c r="S58" s="325">
        <v>447.46159999999998</v>
      </c>
      <c r="T58" s="325">
        <v>401.35140000000007</v>
      </c>
      <c r="U58" s="325">
        <v>328.54289999999997</v>
      </c>
      <c r="V58" s="325">
        <v>362.15399999999994</v>
      </c>
      <c r="W58" s="325">
        <v>362.22240000000005</v>
      </c>
      <c r="X58" s="324">
        <v>342</v>
      </c>
      <c r="Y58" s="324">
        <v>336</v>
      </c>
      <c r="Z58" s="324">
        <v>342</v>
      </c>
      <c r="AA58" s="324">
        <f>(AA59*AA54)/1000000</f>
        <v>342</v>
      </c>
      <c r="AB58" s="324">
        <f t="shared" ref="AB58:AE58" si="88">(AB59*AB54)/1000000</f>
        <v>355.78260000000006</v>
      </c>
      <c r="AC58" s="324">
        <f t="shared" si="88"/>
        <v>355.78260000000006</v>
      </c>
      <c r="AD58" s="324">
        <f t="shared" si="88"/>
        <v>355.78260000000006</v>
      </c>
      <c r="AE58" s="324">
        <f t="shared" si="88"/>
        <v>355.78260000000006</v>
      </c>
      <c r="AF58" s="319"/>
      <c r="AN58" s="317"/>
      <c r="AO58" s="317"/>
      <c r="AP58" s="317"/>
      <c r="AQ58" s="317"/>
    </row>
    <row r="59" spans="1:43" s="316" customFormat="1" outlineLevel="1" x14ac:dyDescent="0.15">
      <c r="A59" s="366" t="s">
        <v>541</v>
      </c>
      <c r="H59" s="321"/>
      <c r="I59" s="325"/>
      <c r="J59" s="325"/>
      <c r="K59" s="325"/>
      <c r="L59" s="325"/>
      <c r="M59" s="325"/>
      <c r="N59" s="325"/>
      <c r="O59" s="325"/>
      <c r="P59" s="325"/>
      <c r="Q59" s="325"/>
      <c r="R59" s="325"/>
      <c r="S59" s="325"/>
      <c r="T59" s="325"/>
      <c r="U59" s="325"/>
      <c r="V59" s="325"/>
      <c r="W59" s="325"/>
      <c r="X59" s="378">
        <f>(X58*1000000)/X54</f>
        <v>31.768421052631577</v>
      </c>
      <c r="Y59" s="378">
        <f t="shared" ref="Y59:Z59" si="89">(Y58*1000000)/Y54</f>
        <v>31.482498002055035</v>
      </c>
      <c r="Z59" s="378">
        <f t="shared" si="89"/>
        <v>30.385539714867619</v>
      </c>
      <c r="AA59" s="378">
        <f>Z59*(1+AA60)</f>
        <v>30.385539714867619</v>
      </c>
      <c r="AB59" s="378">
        <f t="shared" ref="AB59:AE59" si="90">AA59*(1+AB60)</f>
        <v>31.29710590631365</v>
      </c>
      <c r="AC59" s="378">
        <f t="shared" si="90"/>
        <v>31.29710590631365</v>
      </c>
      <c r="AD59" s="378">
        <f t="shared" si="90"/>
        <v>31.29710590631365</v>
      </c>
      <c r="AE59" s="378">
        <f t="shared" si="90"/>
        <v>31.29710590631365</v>
      </c>
      <c r="AF59" s="319"/>
    </row>
    <row r="60" spans="1:43" s="317" customFormat="1" ht="17" customHeight="1" outlineLevel="1" x14ac:dyDescent="0.15">
      <c r="A60" s="358" t="s">
        <v>387</v>
      </c>
      <c r="B60" s="327"/>
      <c r="C60" s="327"/>
      <c r="D60" s="327"/>
      <c r="E60" s="327"/>
      <c r="F60" s="327"/>
      <c r="G60" s="328"/>
      <c r="H60" s="329"/>
      <c r="I60" s="330"/>
      <c r="J60" s="330"/>
      <c r="K60" s="359"/>
      <c r="L60" s="330"/>
      <c r="M60" s="330"/>
      <c r="N60" s="330"/>
      <c r="O60" s="330"/>
      <c r="P60" s="330"/>
      <c r="Q60" s="330"/>
      <c r="R60" s="330"/>
      <c r="S60" s="330"/>
      <c r="T60" s="330"/>
      <c r="U60" s="330"/>
      <c r="V60" s="330"/>
      <c r="W60" s="330"/>
      <c r="X60" s="360"/>
      <c r="Y60" s="361">
        <f>(Y59-X59)/X59</f>
        <v>-9.0002285635425883E-3</v>
      </c>
      <c r="Z60" s="361">
        <f>(Z59-Y59)/Y59</f>
        <v>-3.484343228151119E-2</v>
      </c>
      <c r="AA60" s="362">
        <v>0</v>
      </c>
      <c r="AB60" s="365">
        <v>0.03</v>
      </c>
      <c r="AC60" s="365">
        <v>0</v>
      </c>
      <c r="AD60" s="365">
        <v>0</v>
      </c>
      <c r="AE60" s="365">
        <v>0</v>
      </c>
      <c r="AF60" s="331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</row>
    <row r="61" spans="1:43" s="316" customFormat="1" x14ac:dyDescent="0.15">
      <c r="A61" s="353" t="s">
        <v>389</v>
      </c>
      <c r="H61" s="321">
        <v>54.520999999999901</v>
      </c>
      <c r="I61" s="325">
        <v>21.179099999999892</v>
      </c>
      <c r="J61" s="325">
        <v>17.128200000000106</v>
      </c>
      <c r="K61" s="325">
        <v>190.83770000000004</v>
      </c>
      <c r="L61" s="325">
        <v>56.589500000000044</v>
      </c>
      <c r="M61" s="325">
        <v>-35.505399999999781</v>
      </c>
      <c r="N61" s="325">
        <v>328.85720000000003</v>
      </c>
      <c r="O61" s="325">
        <v>1296.8999999999999</v>
      </c>
      <c r="P61" s="325">
        <v>60.957400000000064</v>
      </c>
      <c r="Q61" s="325">
        <v>74.93630000000006</v>
      </c>
      <c r="R61" s="325">
        <v>-93.168000000000063</v>
      </c>
      <c r="S61" s="325">
        <v>5.6373999999999569</v>
      </c>
      <c r="T61" s="325">
        <v>168.3955</v>
      </c>
      <c r="U61" s="325">
        <v>146.21039999999991</v>
      </c>
      <c r="V61" s="325">
        <v>-3.7313999999998941</v>
      </c>
      <c r="W61" s="325">
        <v>-12.962600000000066</v>
      </c>
      <c r="X61" s="324">
        <f>X51*X62</f>
        <v>57.456000000000003</v>
      </c>
      <c r="Y61" s="324">
        <f>Y51*Y62</f>
        <v>57.625</v>
      </c>
      <c r="Z61" s="324">
        <f>Z51*Z62</f>
        <v>59.411000000000001</v>
      </c>
      <c r="AA61" s="324">
        <f>AA62*AA51</f>
        <v>56.465000000000003</v>
      </c>
      <c r="AB61" s="324">
        <f>AB51*AB62</f>
        <v>59.881132500000021</v>
      </c>
      <c r="AC61" s="324">
        <f>AC51*AC62</f>
        <v>59.881132500000021</v>
      </c>
      <c r="AD61" s="324">
        <f>AD51*AD62</f>
        <v>59.881132500000021</v>
      </c>
      <c r="AE61" s="324">
        <f>AE51*AE62</f>
        <v>59.881132500000021</v>
      </c>
      <c r="AF61" s="319"/>
      <c r="AN61" s="317"/>
      <c r="AO61" s="317"/>
      <c r="AP61" s="317"/>
      <c r="AQ61" s="317"/>
    </row>
    <row r="62" spans="1:43" s="316" customFormat="1" x14ac:dyDescent="0.15">
      <c r="A62" s="353" t="s">
        <v>384</v>
      </c>
      <c r="H62" s="332">
        <v>0.11972112428634143</v>
      </c>
      <c r="I62" s="354">
        <v>4.5871994801819124E-2</v>
      </c>
      <c r="J62" s="354">
        <v>3.7520700985761449E-2</v>
      </c>
      <c r="K62" s="354">
        <v>0.17167839150773664</v>
      </c>
      <c r="L62" s="354">
        <v>0.12404537483559852</v>
      </c>
      <c r="M62" s="354">
        <v>-7.7777437020810025E-2</v>
      </c>
      <c r="N62" s="354">
        <v>0.73734798206278029</v>
      </c>
      <c r="O62" s="354">
        <v>1.1831949639631421</v>
      </c>
      <c r="P62" s="354">
        <v>0.13504076207354912</v>
      </c>
      <c r="Q62" s="354">
        <v>0.16411804643013597</v>
      </c>
      <c r="R62" s="354">
        <v>-0.2099324019828753</v>
      </c>
      <c r="S62" s="354">
        <v>1.2384446397187955E-2</v>
      </c>
      <c r="T62" s="354">
        <v>0.36880310994305732</v>
      </c>
      <c r="U62" s="354">
        <v>0.31463395739186556</v>
      </c>
      <c r="V62" s="354">
        <v>-8.0366142580226042E-3</v>
      </c>
      <c r="W62" s="354">
        <v>-2.798488773747855E-2</v>
      </c>
      <c r="X62" s="300">
        <v>0.126</v>
      </c>
      <c r="Y62" s="300">
        <v>0.125</v>
      </c>
      <c r="Z62" s="300">
        <v>0.121</v>
      </c>
      <c r="AA62" s="368">
        <v>0.115</v>
      </c>
      <c r="AB62" s="368">
        <v>0.115</v>
      </c>
      <c r="AC62" s="368">
        <v>0.115</v>
      </c>
      <c r="AD62" s="368">
        <v>0.115</v>
      </c>
      <c r="AE62" s="368">
        <v>0.115</v>
      </c>
      <c r="AF62" s="319"/>
    </row>
    <row r="63" spans="1:43" s="316" customFormat="1" x14ac:dyDescent="0.15">
      <c r="A63" s="353" t="s">
        <v>273</v>
      </c>
      <c r="H63" s="332">
        <v>0.70900000000000007</v>
      </c>
      <c r="I63" s="354">
        <v>0.72900000000000009</v>
      </c>
      <c r="J63" s="354">
        <v>0.72</v>
      </c>
      <c r="K63" s="354">
        <v>0.71700000000000008</v>
      </c>
      <c r="L63" s="354">
        <v>0.70599999999999996</v>
      </c>
      <c r="M63" s="354">
        <v>0.81799999999999995</v>
      </c>
      <c r="N63" s="354">
        <v>0</v>
      </c>
      <c r="O63" s="354">
        <v>0</v>
      </c>
      <c r="P63" s="354">
        <v>0.98799999999999999</v>
      </c>
      <c r="Q63" s="354">
        <v>0.85199999999999998</v>
      </c>
      <c r="R63" s="354">
        <v>1.006</v>
      </c>
      <c r="S63" s="354">
        <v>0.98299999999999998</v>
      </c>
      <c r="T63" s="354">
        <v>0.879</v>
      </c>
      <c r="U63" s="354">
        <v>0.70700000000000007</v>
      </c>
      <c r="V63" s="354">
        <v>0.78</v>
      </c>
      <c r="W63" s="354">
        <v>0.78200000000000003</v>
      </c>
      <c r="X63" s="300">
        <f>X58/X51</f>
        <v>0.75</v>
      </c>
      <c r="Y63" s="300">
        <v>0.73</v>
      </c>
      <c r="Z63" s="300">
        <v>0.73299999999999998</v>
      </c>
      <c r="AA63" s="300">
        <f>AA58/AA51</f>
        <v>0.69653767820773926</v>
      </c>
      <c r="AB63" s="300">
        <f>AB58/AB51</f>
        <v>0.68327029386092519</v>
      </c>
      <c r="AC63" s="300">
        <f t="shared" ref="AC63:AE63" si="91">AC58/AC51</f>
        <v>0.68327029386092519</v>
      </c>
      <c r="AD63" s="300">
        <f t="shared" si="91"/>
        <v>0.68327029386092519</v>
      </c>
      <c r="AE63" s="300">
        <f t="shared" si="91"/>
        <v>0.68327029386092519</v>
      </c>
      <c r="AF63" s="319"/>
    </row>
    <row r="64" spans="1:43" s="316" customFormat="1" x14ac:dyDescent="0.15">
      <c r="A64" s="353" t="s">
        <v>82</v>
      </c>
      <c r="H64" s="121">
        <f>H51-H58-H61</f>
        <v>78.00040000000007</v>
      </c>
      <c r="I64" s="324">
        <f t="shared" ref="I64:W64" si="92">I51-I58-I61</f>
        <v>103.94160000000005</v>
      </c>
      <c r="J64" s="324">
        <f t="shared" si="92"/>
        <v>110.69179999999994</v>
      </c>
      <c r="K64" s="324">
        <f t="shared" si="92"/>
        <v>123.74509999999987</v>
      </c>
      <c r="L64" s="324">
        <f t="shared" si="92"/>
        <v>77.533299999999997</v>
      </c>
      <c r="M64" s="324">
        <f t="shared" si="92"/>
        <v>118.58839999999981</v>
      </c>
      <c r="N64" s="324">
        <f t="shared" si="92"/>
        <v>117.14280000000002</v>
      </c>
      <c r="O64" s="324">
        <f t="shared" si="92"/>
        <v>-200.79999999999995</v>
      </c>
      <c r="P64" s="324">
        <f t="shared" si="92"/>
        <v>-55.54060000000004</v>
      </c>
      <c r="Q64" s="324">
        <f t="shared" si="92"/>
        <v>-7.3595000000000681</v>
      </c>
      <c r="R64" s="324">
        <f t="shared" si="92"/>
        <v>90.505200000000059</v>
      </c>
      <c r="S64" s="324">
        <f t="shared" si="92"/>
        <v>2.1010000000000559</v>
      </c>
      <c r="T64" s="324">
        <f t="shared" si="92"/>
        <v>-113.14689999999999</v>
      </c>
      <c r="U64" s="324">
        <f t="shared" si="92"/>
        <v>-10.05329999999995</v>
      </c>
      <c r="V64" s="324">
        <f t="shared" si="92"/>
        <v>105.87739999999985</v>
      </c>
      <c r="W64" s="324">
        <f t="shared" si="92"/>
        <v>113.94020000000006</v>
      </c>
      <c r="X64" s="324">
        <f>X51-X58-X61</f>
        <v>56.543999999999997</v>
      </c>
      <c r="Y64" s="324">
        <f>Y51-Y58-Y61</f>
        <v>67.375</v>
      </c>
      <c r="Z64" s="324">
        <f>Z51-Z58-Z61</f>
        <v>89.588999999999999</v>
      </c>
      <c r="AA64" s="324">
        <f t="shared" ref="AA64:AE64" si="93">AA51-AA58-AA61</f>
        <v>92.534999999999997</v>
      </c>
      <c r="AB64" s="324">
        <f t="shared" si="93"/>
        <v>105.04176750000006</v>
      </c>
      <c r="AC64" s="324">
        <f t="shared" si="93"/>
        <v>105.04176750000006</v>
      </c>
      <c r="AD64" s="324">
        <f t="shared" si="93"/>
        <v>105.04176750000006</v>
      </c>
      <c r="AE64" s="324">
        <f t="shared" si="93"/>
        <v>105.04176750000006</v>
      </c>
      <c r="AF64" s="319"/>
    </row>
    <row r="65" spans="1:32" s="316" customFormat="1" x14ac:dyDescent="0.15">
      <c r="A65" s="353" t="s">
        <v>385</v>
      </c>
      <c r="G65" s="332"/>
      <c r="H65" s="332">
        <f>H64/H13</f>
        <v>0.31363248894250129</v>
      </c>
      <c r="I65" s="332">
        <f t="shared" ref="I65:AE65" si="94">I64/I13</f>
        <v>0.41197621878715834</v>
      </c>
      <c r="J65" s="332">
        <f t="shared" si="94"/>
        <v>0.43528037750688142</v>
      </c>
      <c r="K65" s="332">
        <f t="shared" si="94"/>
        <v>0.4733936495791885</v>
      </c>
      <c r="L65" s="332">
        <f t="shared" si="94"/>
        <v>0.29469137210186236</v>
      </c>
      <c r="M65" s="332">
        <f t="shared" si="94"/>
        <v>0.45297326203208482</v>
      </c>
      <c r="N65" s="332">
        <f t="shared" si="94"/>
        <v>0.50514359637774908</v>
      </c>
      <c r="O65" s="332">
        <f t="shared" si="94"/>
        <v>-1.0669500531349627</v>
      </c>
      <c r="P65" s="332">
        <f t="shared" si="94"/>
        <v>-0.3870425087108017</v>
      </c>
      <c r="Q65" s="332">
        <f t="shared" si="94"/>
        <v>-6.3608470181504478E-2</v>
      </c>
      <c r="R65" s="332">
        <f t="shared" si="94"/>
        <v>0.50476965978806498</v>
      </c>
      <c r="S65" s="332">
        <f t="shared" si="94"/>
        <v>2.3740112994350915E-2</v>
      </c>
      <c r="T65" s="332">
        <f t="shared" si="94"/>
        <v>-1.3900110565110562</v>
      </c>
      <c r="U65" s="332">
        <f t="shared" si="94"/>
        <v>-5.8585664335664048E-2</v>
      </c>
      <c r="V65" s="332">
        <f t="shared" si="94"/>
        <v>0.35842044685172603</v>
      </c>
      <c r="W65" s="332">
        <f t="shared" si="94"/>
        <v>0.4143280000000002</v>
      </c>
      <c r="X65" s="332">
        <f t="shared" si="94"/>
        <v>0.23452606605585263</v>
      </c>
      <c r="Y65" s="332">
        <f t="shared" si="94"/>
        <v>0.2494446501295815</v>
      </c>
      <c r="Z65" s="332">
        <f t="shared" si="94"/>
        <v>0.33816230008794806</v>
      </c>
      <c r="AA65" s="332">
        <f t="shared" si="94"/>
        <v>0.31510394497131089</v>
      </c>
      <c r="AB65" s="332">
        <f t="shared" si="94"/>
        <v>0.28940631596615157</v>
      </c>
      <c r="AC65" s="332">
        <f t="shared" si="94"/>
        <v>0.28940631596615157</v>
      </c>
      <c r="AD65" s="332">
        <f t="shared" si="94"/>
        <v>0.28940631596615157</v>
      </c>
      <c r="AE65" s="332">
        <f t="shared" si="94"/>
        <v>0.28940631596615157</v>
      </c>
      <c r="AF65" s="3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875E-672B-4EC9-A02E-1DAA42FBB8DD}">
  <dimension ref="A2:AQ65"/>
  <sheetViews>
    <sheetView workbookViewId="0">
      <pane xSplit="7" ySplit="2" topLeftCell="AB3" activePane="bottomRight" state="frozen"/>
      <selection pane="topRight" activeCell="H1" sqref="H1"/>
      <selection pane="bottomLeft" activeCell="A3" sqref="A3"/>
      <selection pane="bottomRight" activeCell="AP12" sqref="AP12"/>
    </sheetView>
  </sheetViews>
  <sheetFormatPr baseColWidth="10" defaultColWidth="9.19921875" defaultRowHeight="14" outlineLevelRow="1" x14ac:dyDescent="0.15"/>
  <cols>
    <col min="1" max="1" width="31.19921875" style="114" bestFit="1" customWidth="1"/>
    <col min="2" max="2" width="15" style="114" hidden="1" customWidth="1"/>
    <col min="3" max="3" width="10.19921875" style="114" hidden="1" customWidth="1"/>
    <col min="4" max="4" width="6.19921875" style="114" hidden="1" customWidth="1"/>
    <col min="5" max="5" width="13.19921875" style="114" hidden="1" customWidth="1"/>
    <col min="6" max="6" width="4.796875" style="114" hidden="1" customWidth="1"/>
    <col min="7" max="7" width="8.19921875" style="114" hidden="1" customWidth="1"/>
    <col min="8" max="11" width="9.19921875" style="114" bestFit="1" customWidth="1"/>
    <col min="12" max="12" width="12.796875" style="114" bestFit="1" customWidth="1"/>
    <col min="13" max="19" width="9.19921875" style="114" bestFit="1" customWidth="1"/>
    <col min="20" max="20" width="11.796875" style="114" bestFit="1" customWidth="1"/>
    <col min="21" max="23" width="9.19921875" style="114" bestFit="1" customWidth="1"/>
    <col min="24" max="24" width="12.59765625" style="114" bestFit="1" customWidth="1"/>
    <col min="25" max="26" width="13" style="114" bestFit="1" customWidth="1"/>
    <col min="27" max="27" width="12.19921875" style="114" bestFit="1" customWidth="1"/>
    <col min="28" max="28" width="13" style="114" bestFit="1" customWidth="1"/>
    <col min="29" max="31" width="11" style="114" bestFit="1" customWidth="1"/>
    <col min="32" max="35" width="9.19921875" style="114"/>
    <col min="36" max="36" width="18.796875" style="114" bestFit="1" customWidth="1"/>
    <col min="37" max="40" width="9.19921875" style="114" bestFit="1" customWidth="1"/>
    <col min="41" max="41" width="9.796875" style="114" bestFit="1" customWidth="1"/>
    <col min="42" max="42" width="10" style="114" bestFit="1" customWidth="1"/>
    <col min="43" max="16384" width="9.19921875" style="114"/>
  </cols>
  <sheetData>
    <row r="2" spans="1:43" s="316" customFormat="1" x14ac:dyDescent="0.15">
      <c r="A2" s="314"/>
      <c r="B2" s="314"/>
      <c r="C2" s="314"/>
      <c r="D2" s="315" t="s">
        <v>347</v>
      </c>
      <c r="E2" s="315" t="s">
        <v>348</v>
      </c>
      <c r="F2" s="315" t="s">
        <v>349</v>
      </c>
      <c r="G2" s="315" t="s">
        <v>350</v>
      </c>
      <c r="H2" s="315" t="s">
        <v>351</v>
      </c>
      <c r="I2" s="315" t="s">
        <v>352</v>
      </c>
      <c r="J2" s="315" t="s">
        <v>353</v>
      </c>
      <c r="K2" s="315" t="s">
        <v>354</v>
      </c>
      <c r="L2" s="315" t="s">
        <v>355</v>
      </c>
      <c r="M2" s="315" t="s">
        <v>356</v>
      </c>
      <c r="N2" s="315" t="s">
        <v>357</v>
      </c>
      <c r="O2" s="315" t="s">
        <v>358</v>
      </c>
      <c r="P2" s="315" t="s">
        <v>359</v>
      </c>
      <c r="Q2" s="315" t="s">
        <v>360</v>
      </c>
      <c r="R2" s="315" t="s">
        <v>361</v>
      </c>
      <c r="S2" s="315" t="s">
        <v>362</v>
      </c>
      <c r="T2" s="315" t="s">
        <v>363</v>
      </c>
      <c r="U2" s="315" t="s">
        <v>364</v>
      </c>
      <c r="V2" s="315" t="s">
        <v>365</v>
      </c>
      <c r="W2" s="315" t="s">
        <v>366</v>
      </c>
      <c r="X2" s="315" t="s">
        <v>367</v>
      </c>
      <c r="Y2" s="315" t="s">
        <v>368</v>
      </c>
      <c r="Z2" s="315" t="s">
        <v>542</v>
      </c>
      <c r="AA2" s="315" t="s">
        <v>370</v>
      </c>
      <c r="AB2" s="315" t="s">
        <v>537</v>
      </c>
      <c r="AC2" s="315" t="s">
        <v>538</v>
      </c>
      <c r="AD2" s="315" t="s">
        <v>539</v>
      </c>
      <c r="AE2" s="315" t="s">
        <v>540</v>
      </c>
      <c r="AJ2" s="317"/>
      <c r="AK2" s="317">
        <v>2019</v>
      </c>
      <c r="AL2" s="317">
        <v>2020</v>
      </c>
      <c r="AM2" s="317">
        <v>2021</v>
      </c>
      <c r="AN2" s="317">
        <v>2022</v>
      </c>
      <c r="AO2" s="331" t="s">
        <v>397</v>
      </c>
      <c r="AP2" s="331" t="s">
        <v>371</v>
      </c>
      <c r="AQ2" s="331" t="s">
        <v>372</v>
      </c>
    </row>
    <row r="3" spans="1:43" x14ac:dyDescent="0.15">
      <c r="I3" s="310"/>
      <c r="J3" s="310"/>
      <c r="K3" s="310"/>
      <c r="L3" s="311"/>
      <c r="M3" s="310"/>
      <c r="N3" s="310"/>
      <c r="O3" s="310"/>
      <c r="P3" s="310"/>
      <c r="Q3" s="310"/>
      <c r="R3" s="310"/>
      <c r="S3" s="310"/>
      <c r="T3" s="311"/>
      <c r="U3" s="310"/>
      <c r="V3" s="310"/>
      <c r="W3" s="310"/>
      <c r="X3" s="311"/>
      <c r="Y3" s="310"/>
      <c r="Z3" s="311"/>
      <c r="AA3" s="310"/>
      <c r="AB3" s="311"/>
      <c r="AC3" s="310"/>
      <c r="AD3" s="311"/>
      <c r="AE3" s="310"/>
      <c r="AF3" s="310"/>
    </row>
    <row r="4" spans="1:43" s="316" customFormat="1" x14ac:dyDescent="0.15">
      <c r="A4" s="318" t="s">
        <v>373</v>
      </c>
      <c r="I4" s="319"/>
      <c r="J4" s="319"/>
      <c r="K4" s="319"/>
      <c r="L4" s="319"/>
      <c r="M4" s="319"/>
      <c r="N4" s="319"/>
      <c r="O4" s="319"/>
      <c r="P4" s="319"/>
      <c r="Q4" s="319"/>
      <c r="R4" s="319"/>
      <c r="S4" s="319"/>
      <c r="T4" s="319"/>
      <c r="U4" s="319"/>
      <c r="V4" s="319"/>
      <c r="W4" s="319"/>
      <c r="X4" s="319"/>
      <c r="Y4" s="319"/>
      <c r="Z4" s="319"/>
      <c r="AA4" s="319"/>
      <c r="AB4" s="319"/>
      <c r="AC4" s="319"/>
      <c r="AD4" s="319"/>
      <c r="AE4" s="319"/>
      <c r="AF4" s="319"/>
    </row>
    <row r="5" spans="1:43" s="321" customFormat="1" x14ac:dyDescent="0.15">
      <c r="A5" s="320" t="s">
        <v>374</v>
      </c>
      <c r="G5" s="220">
        <v>1435.1</v>
      </c>
      <c r="H5" s="220">
        <v>1501.9</v>
      </c>
      <c r="I5" s="322">
        <v>1504.5</v>
      </c>
      <c r="J5" s="322">
        <v>1501.9</v>
      </c>
      <c r="K5" s="322">
        <v>1508.3</v>
      </c>
      <c r="L5" s="322">
        <v>1527.7</v>
      </c>
      <c r="M5" s="322">
        <v>1522.7</v>
      </c>
      <c r="N5" s="322">
        <v>1483.4</v>
      </c>
      <c r="O5" s="322">
        <v>1485.1</v>
      </c>
      <c r="P5" s="322">
        <v>1525.8</v>
      </c>
      <c r="Q5" s="322">
        <v>1522.1</v>
      </c>
      <c r="R5" s="322">
        <v>1500.8</v>
      </c>
      <c r="S5" s="322">
        <v>1529.3</v>
      </c>
      <c r="T5" s="322">
        <v>1544.9</v>
      </c>
      <c r="U5" s="322">
        <v>1572.3</v>
      </c>
      <c r="V5" s="322">
        <v>1559.6</v>
      </c>
      <c r="W5" s="322">
        <v>1581.5</v>
      </c>
      <c r="X5" s="323">
        <v>1609.6</v>
      </c>
      <c r="Y5" s="323">
        <v>1641.4</v>
      </c>
      <c r="Z5" s="323">
        <v>1657.7</v>
      </c>
      <c r="AA5" s="324">
        <f>AA17+AA34+AA51</f>
        <v>1681</v>
      </c>
      <c r="AB5" s="324">
        <f t="shared" ref="AB5:AE5" si="0">AB17+AB34+AB51</f>
        <v>2018.2175999999999</v>
      </c>
      <c r="AC5" s="324">
        <f t="shared" si="0"/>
        <v>2018.2175999999999</v>
      </c>
      <c r="AD5" s="324">
        <f t="shared" si="0"/>
        <v>2018.2175999999999</v>
      </c>
      <c r="AE5" s="324">
        <f t="shared" si="0"/>
        <v>2018.2175999999999</v>
      </c>
      <c r="AF5" s="325"/>
      <c r="AH5" s="316"/>
      <c r="AI5" s="316"/>
      <c r="AJ5" s="316" t="s">
        <v>535</v>
      </c>
      <c r="AK5" s="325">
        <f>SUM(H5:K5)</f>
        <v>6016.6</v>
      </c>
      <c r="AL5" s="325">
        <f>SUM(L5:O5)</f>
        <v>6018.9</v>
      </c>
      <c r="AM5" s="325">
        <f>SUM(P5:S5)</f>
        <v>6078</v>
      </c>
      <c r="AN5" s="325">
        <f>SUM(T5:W5)</f>
        <v>6258.2999999999993</v>
      </c>
      <c r="AO5" s="325">
        <f>SUM(X5:AA5)</f>
        <v>6589.7</v>
      </c>
      <c r="AP5" s="325">
        <f>SUM(AB5:AE5)</f>
        <v>8072.8703999999998</v>
      </c>
      <c r="AQ5" s="325">
        <f>AP5*(1+AQ6)</f>
        <v>8395.7852160000002</v>
      </c>
    </row>
    <row r="6" spans="1:43" s="317" customFormat="1" ht="15" outlineLevel="1" x14ac:dyDescent="0.15">
      <c r="A6" s="326" t="s">
        <v>387</v>
      </c>
      <c r="B6" s="327"/>
      <c r="C6" s="327"/>
      <c r="D6" s="327"/>
      <c r="E6" s="327"/>
      <c r="F6" s="327"/>
      <c r="G6" s="328"/>
      <c r="H6" s="329"/>
      <c r="I6" s="330">
        <f t="shared" ref="I6:AE6" si="1">(I5-H5)/H5</f>
        <v>1.7311405552965637E-3</v>
      </c>
      <c r="J6" s="330">
        <f t="shared" si="1"/>
        <v>-1.7281488866732529E-3</v>
      </c>
      <c r="K6" s="330">
        <f t="shared" si="1"/>
        <v>4.2612690591915994E-3</v>
      </c>
      <c r="L6" s="330">
        <f t="shared" si="1"/>
        <v>1.2862162699728232E-2</v>
      </c>
      <c r="M6" s="330">
        <f t="shared" si="1"/>
        <v>-3.272893892779996E-3</v>
      </c>
      <c r="N6" s="330">
        <f t="shared" si="1"/>
        <v>-2.5809417482104125E-2</v>
      </c>
      <c r="O6" s="330">
        <f t="shared" si="1"/>
        <v>1.1460159093972077E-3</v>
      </c>
      <c r="P6" s="330">
        <f t="shared" si="1"/>
        <v>2.7405561915022591E-2</v>
      </c>
      <c r="Q6" s="330">
        <f t="shared" si="1"/>
        <v>-2.4249573993970677E-3</v>
      </c>
      <c r="R6" s="330">
        <f t="shared" si="1"/>
        <v>-1.3993824321660834E-2</v>
      </c>
      <c r="S6" s="330">
        <f t="shared" si="1"/>
        <v>1.8989872068230277E-2</v>
      </c>
      <c r="T6" s="330">
        <f t="shared" si="1"/>
        <v>1.0200745439089869E-2</v>
      </c>
      <c r="U6" s="330">
        <f t="shared" si="1"/>
        <v>1.7735775778367442E-2</v>
      </c>
      <c r="V6" s="330">
        <f t="shared" si="1"/>
        <v>-8.0773389302296293E-3</v>
      </c>
      <c r="W6" s="330">
        <f t="shared" si="1"/>
        <v>1.4042062067196777E-2</v>
      </c>
      <c r="X6" s="330">
        <f t="shared" si="1"/>
        <v>1.7767941827379011E-2</v>
      </c>
      <c r="Y6" s="330">
        <f t="shared" si="1"/>
        <v>1.9756461232604487E-2</v>
      </c>
      <c r="Z6" s="330">
        <f t="shared" si="1"/>
        <v>9.9305470939441663E-3</v>
      </c>
      <c r="AA6" s="330">
        <f t="shared" si="1"/>
        <v>1.4055619231465255E-2</v>
      </c>
      <c r="AB6" s="330">
        <f t="shared" si="1"/>
        <v>0.20060535395597856</v>
      </c>
      <c r="AC6" s="330">
        <f t="shared" si="1"/>
        <v>0</v>
      </c>
      <c r="AD6" s="330">
        <f t="shared" si="1"/>
        <v>0</v>
      </c>
      <c r="AE6" s="330">
        <f t="shared" si="1"/>
        <v>0</v>
      </c>
      <c r="AF6" s="331"/>
      <c r="AH6" s="316"/>
      <c r="AI6" s="316"/>
      <c r="AJ6" s="316" t="s">
        <v>536</v>
      </c>
      <c r="AK6" s="325"/>
      <c r="AL6" s="700">
        <f>(AL5-AK5)/AK5</f>
        <v>3.8227570388579466E-4</v>
      </c>
      <c r="AM6" s="700">
        <f>(AM5-AL5)/AL5</f>
        <v>9.8190699297214384E-3</v>
      </c>
      <c r="AN6" s="700">
        <f>(AN5-AM5)/AM5</f>
        <v>2.966436327739376E-2</v>
      </c>
      <c r="AO6" s="700">
        <f>(AO5-AN5)/AN5</f>
        <v>5.2953677516258499E-2</v>
      </c>
      <c r="AP6" s="700">
        <f>(AP5-AO5)/AO5</f>
        <v>0.22507403978936827</v>
      </c>
      <c r="AQ6" s="701">
        <v>0.04</v>
      </c>
    </row>
    <row r="7" spans="1:43" s="317" customFormat="1" ht="15" outlineLevel="1" x14ac:dyDescent="0.15">
      <c r="A7" s="326" t="s">
        <v>532</v>
      </c>
      <c r="B7" s="327"/>
      <c r="C7" s="327"/>
      <c r="D7" s="327"/>
      <c r="E7" s="327"/>
      <c r="F7" s="327"/>
      <c r="G7" s="328"/>
      <c r="H7" s="333"/>
      <c r="I7" s="334"/>
      <c r="J7" s="334"/>
      <c r="K7" s="334"/>
      <c r="L7" s="334"/>
      <c r="M7" s="334"/>
      <c r="N7" s="334"/>
      <c r="O7" s="334"/>
      <c r="P7" s="334"/>
      <c r="Q7" s="334"/>
      <c r="R7" s="334"/>
      <c r="S7" s="334"/>
      <c r="T7" s="334"/>
      <c r="U7" s="334"/>
      <c r="V7" s="334"/>
      <c r="W7" s="334"/>
      <c r="X7" s="335">
        <v>38000000</v>
      </c>
      <c r="Y7" s="335">
        <v>38000000</v>
      </c>
      <c r="Z7" s="335">
        <v>38000000</v>
      </c>
      <c r="AA7" s="335">
        <f>AA20+AA37+AA54</f>
        <v>38534113.530795678</v>
      </c>
      <c r="AB7" s="335">
        <f t="shared" ref="AB7:AE7" si="2">AB20+AB37+AB54</f>
        <v>41307377.691982865</v>
      </c>
      <c r="AC7" s="335">
        <f t="shared" si="2"/>
        <v>41307377.691982865</v>
      </c>
      <c r="AD7" s="335">
        <f t="shared" si="2"/>
        <v>41307377.691982865</v>
      </c>
      <c r="AE7" s="335">
        <f t="shared" si="2"/>
        <v>41307377.691982865</v>
      </c>
      <c r="AF7" s="331"/>
      <c r="AH7" s="316"/>
      <c r="AI7" s="316"/>
      <c r="AJ7" s="316"/>
      <c r="AK7" s="325"/>
      <c r="AL7" s="325"/>
      <c r="AM7" s="325"/>
      <c r="AN7" s="325"/>
      <c r="AO7" s="336"/>
      <c r="AP7" s="383"/>
      <c r="AQ7" s="331"/>
    </row>
    <row r="8" spans="1:43" s="317" customFormat="1" ht="30" outlineLevel="1" x14ac:dyDescent="0.15">
      <c r="A8" s="326" t="s">
        <v>534</v>
      </c>
      <c r="B8" s="327"/>
      <c r="C8" s="327"/>
      <c r="D8" s="327"/>
      <c r="E8" s="327"/>
      <c r="F8" s="327"/>
      <c r="G8" s="328"/>
      <c r="H8" s="333"/>
      <c r="I8" s="334"/>
      <c r="J8" s="334"/>
      <c r="K8" s="334"/>
      <c r="L8" s="334"/>
      <c r="M8" s="334"/>
      <c r="N8" s="334"/>
      <c r="O8" s="334"/>
      <c r="P8" s="334"/>
      <c r="Q8" s="334"/>
      <c r="R8" s="334"/>
      <c r="S8" s="334"/>
      <c r="T8" s="334"/>
      <c r="U8" s="334"/>
      <c r="V8" s="334"/>
      <c r="W8" s="334"/>
      <c r="X8" s="337">
        <f>(X5*1000000)/X7</f>
        <v>42.357894736842105</v>
      </c>
      <c r="Y8" s="337">
        <f t="shared" ref="Y8:AE8" si="3">(Y5*1000000)/Y7</f>
        <v>43.194736842105264</v>
      </c>
      <c r="Z8" s="337">
        <f t="shared" si="3"/>
        <v>43.623684210526314</v>
      </c>
      <c r="AA8" s="337">
        <f t="shared" si="3"/>
        <v>43.623684210526321</v>
      </c>
      <c r="AB8" s="337">
        <f t="shared" si="3"/>
        <v>48.858526315789476</v>
      </c>
      <c r="AC8" s="337">
        <f t="shared" si="3"/>
        <v>48.858526315789476</v>
      </c>
      <c r="AD8" s="337">
        <f t="shared" si="3"/>
        <v>48.858526315789476</v>
      </c>
      <c r="AE8" s="337">
        <f t="shared" si="3"/>
        <v>48.858526315789476</v>
      </c>
      <c r="AF8" s="331"/>
      <c r="AH8" s="316"/>
      <c r="AI8" s="316"/>
      <c r="AJ8" s="316"/>
      <c r="AK8" s="325"/>
      <c r="AL8" s="325"/>
      <c r="AM8" s="325"/>
      <c r="AN8" s="325"/>
      <c r="AO8" s="325"/>
      <c r="AP8" s="384"/>
      <c r="AQ8" s="331"/>
    </row>
    <row r="9" spans="1:43" s="317" customFormat="1" ht="15" outlineLevel="1" x14ac:dyDescent="0.15">
      <c r="A9" s="326" t="s">
        <v>387</v>
      </c>
      <c r="B9" s="327"/>
      <c r="C9" s="327"/>
      <c r="D9" s="327"/>
      <c r="E9" s="327"/>
      <c r="F9" s="327"/>
      <c r="G9" s="328"/>
      <c r="H9" s="329"/>
      <c r="I9" s="330"/>
      <c r="J9" s="330"/>
      <c r="K9" s="330"/>
      <c r="L9" s="330"/>
      <c r="M9" s="330"/>
      <c r="N9" s="330"/>
      <c r="O9" s="330"/>
      <c r="P9" s="330"/>
      <c r="Q9" s="330"/>
      <c r="R9" s="330"/>
      <c r="S9" s="330"/>
      <c r="T9" s="330"/>
      <c r="U9" s="330"/>
      <c r="V9" s="330"/>
      <c r="W9" s="330"/>
      <c r="X9" s="330"/>
      <c r="Y9" s="330">
        <f>(Y8-X8)/X8</f>
        <v>1.9756461232604397E-2</v>
      </c>
      <c r="Z9" s="330">
        <f>(Z8-Y8)/Y8</f>
        <v>9.9305470939441143E-3</v>
      </c>
      <c r="AA9" s="330">
        <f>(AA8-Z8)/Z8</f>
        <v>1.6288003835967792E-16</v>
      </c>
      <c r="AB9" s="330">
        <v>0.05</v>
      </c>
      <c r="AC9" s="330">
        <v>0.01</v>
      </c>
      <c r="AD9" s="330">
        <f>(AD8-AC8)/AC8</f>
        <v>0</v>
      </c>
      <c r="AE9" s="330">
        <f>(AE8-AD8)/AD8</f>
        <v>0</v>
      </c>
      <c r="AF9" s="331"/>
      <c r="AH9" s="316"/>
      <c r="AI9" s="316"/>
      <c r="AJ9" s="316"/>
      <c r="AK9" s="325"/>
      <c r="AL9" s="325"/>
      <c r="AM9" s="325"/>
      <c r="AN9" s="325"/>
      <c r="AO9" s="325"/>
      <c r="AP9" s="385"/>
      <c r="AQ9" s="331"/>
    </row>
    <row r="10" spans="1:43" s="321" customFormat="1" x14ac:dyDescent="0.15">
      <c r="A10" s="320" t="s">
        <v>375</v>
      </c>
      <c r="G10" s="220"/>
      <c r="H10" s="220">
        <v>945.48840000000018</v>
      </c>
      <c r="I10" s="322">
        <v>987.39490000000012</v>
      </c>
      <c r="J10" s="322">
        <v>985.14679999999998</v>
      </c>
      <c r="K10" s="322">
        <v>977.91239999999993</v>
      </c>
      <c r="L10" s="322">
        <v>942.26869999999997</v>
      </c>
      <c r="M10" s="322">
        <v>1030.2759999999998</v>
      </c>
      <c r="N10" s="322">
        <v>657.36390000000006</v>
      </c>
      <c r="O10" s="322">
        <v>0</v>
      </c>
      <c r="P10" s="322">
        <v>1107.1018999999999</v>
      </c>
      <c r="Q10" s="322">
        <v>1064.9951999999998</v>
      </c>
      <c r="R10" s="322">
        <v>1153.4322</v>
      </c>
      <c r="S10" s="322">
        <v>1149.9971</v>
      </c>
      <c r="T10" s="322">
        <v>1069.9816000000001</v>
      </c>
      <c r="U10" s="322">
        <v>961.30770000000007</v>
      </c>
      <c r="V10" s="322">
        <v>972.08489999999983</v>
      </c>
      <c r="W10" s="322">
        <v>1005.0559000000001</v>
      </c>
      <c r="X10" s="323">
        <f>X24+X41+X58</f>
        <v>1011</v>
      </c>
      <c r="Y10" s="323">
        <f t="shared" ref="Y10:AE10" si="4">Y24+Y41+Y58</f>
        <v>1006</v>
      </c>
      <c r="Z10" s="323">
        <f t="shared" si="4"/>
        <v>1007.9</v>
      </c>
      <c r="AA10" s="323">
        <f>AA24+AA41+AA58</f>
        <v>1007.9</v>
      </c>
      <c r="AB10" s="323">
        <f>AB24+AB41+AB58</f>
        <v>1101.3069</v>
      </c>
      <c r="AC10" s="323">
        <f t="shared" si="4"/>
        <v>1101.3069</v>
      </c>
      <c r="AD10" s="323">
        <f t="shared" si="4"/>
        <v>1101.3069</v>
      </c>
      <c r="AE10" s="323">
        <f t="shared" si="4"/>
        <v>1101.3069</v>
      </c>
      <c r="AF10" s="325"/>
      <c r="AJ10" s="321" t="s">
        <v>382</v>
      </c>
      <c r="AK10" s="325">
        <f>SUM(H10:K10)</f>
        <v>3895.9425000000001</v>
      </c>
      <c r="AL10" s="325">
        <f>SUM(L10:O10)</f>
        <v>2629.9085999999998</v>
      </c>
      <c r="AM10" s="325">
        <f>SUM(P10:S10)</f>
        <v>4475.5264000000006</v>
      </c>
      <c r="AN10" s="325">
        <f>SUM(T10:W10)</f>
        <v>4008.4301000000005</v>
      </c>
      <c r="AO10" s="325">
        <f>SUM(X10:AA10)</f>
        <v>4032.8</v>
      </c>
      <c r="AP10" s="324">
        <f>SUM(AB10:AE10)</f>
        <v>4405.2276000000002</v>
      </c>
      <c r="AQ10" s="325">
        <f>AQ12*AQ5</f>
        <v>4581.4367040000006</v>
      </c>
    </row>
    <row r="11" spans="1:43" s="321" customFormat="1" x14ac:dyDescent="0.15">
      <c r="A11" s="320" t="s">
        <v>376</v>
      </c>
      <c r="G11" s="220"/>
      <c r="H11" s="220">
        <v>307.71159999999992</v>
      </c>
      <c r="I11" s="322">
        <v>264.80509999999987</v>
      </c>
      <c r="J11" s="322">
        <v>262.45320000000009</v>
      </c>
      <c r="K11" s="322">
        <v>268.98760000000004</v>
      </c>
      <c r="L11" s="322">
        <v>322.33130000000006</v>
      </c>
      <c r="M11" s="322">
        <v>230.62400000000019</v>
      </c>
      <c r="N11" s="322">
        <v>594.13610000000006</v>
      </c>
      <c r="O11" s="322">
        <v>1296.8999999999999</v>
      </c>
      <c r="P11" s="322">
        <v>275.19810000000007</v>
      </c>
      <c r="Q11" s="322">
        <v>341.40480000000008</v>
      </c>
      <c r="R11" s="322">
        <v>168.06779999999998</v>
      </c>
      <c r="S11" s="322">
        <v>290.80289999999991</v>
      </c>
      <c r="T11" s="322">
        <v>393.51840000000004</v>
      </c>
      <c r="U11" s="322">
        <v>439.39229999999986</v>
      </c>
      <c r="V11" s="322">
        <v>292.1151000000001</v>
      </c>
      <c r="W11" s="322">
        <v>301.44409999999993</v>
      </c>
      <c r="X11" s="323">
        <f>X27+X44+X61</f>
        <v>357.50099999999998</v>
      </c>
      <c r="Y11" s="323">
        <f t="shared" ref="Y11:AE11" si="5">Y27+Y44+Y61</f>
        <v>365.29999999999995</v>
      </c>
      <c r="Z11" s="323">
        <f t="shared" si="5"/>
        <v>384.87100000000004</v>
      </c>
      <c r="AA11" s="323">
        <f t="shared" si="5"/>
        <v>379.43500000000006</v>
      </c>
      <c r="AB11" s="323">
        <f t="shared" si="5"/>
        <v>434.28022399999998</v>
      </c>
      <c r="AC11" s="323">
        <f t="shared" si="5"/>
        <v>434.28022399999998</v>
      </c>
      <c r="AD11" s="323">
        <f t="shared" si="5"/>
        <v>434.28022399999998</v>
      </c>
      <c r="AE11" s="323">
        <f t="shared" si="5"/>
        <v>434.28022399999998</v>
      </c>
      <c r="AF11" s="325"/>
      <c r="AJ11" s="321" t="s">
        <v>383</v>
      </c>
      <c r="AK11" s="325">
        <f>SUM(H11:K11)</f>
        <v>1103.9575</v>
      </c>
      <c r="AL11" s="325">
        <f>SUM(L11:O11)</f>
        <v>2443.9913999999999</v>
      </c>
      <c r="AM11" s="325">
        <f>SUM(P11:S11)</f>
        <v>1075.4736</v>
      </c>
      <c r="AN11" s="325">
        <f>SUM(T11:W11)</f>
        <v>1426.4698999999998</v>
      </c>
      <c r="AO11" s="325">
        <f>SUM(X11:AA11)</f>
        <v>1487.107</v>
      </c>
      <c r="AP11" s="325">
        <f>SUM(AB11:AE11)</f>
        <v>1737.1208959999999</v>
      </c>
      <c r="AQ11" s="325">
        <f>AQ13*AQ5</f>
        <v>1806.6057318400001</v>
      </c>
    </row>
    <row r="12" spans="1:43" s="316" customFormat="1" x14ac:dyDescent="0.15">
      <c r="A12" s="338" t="s">
        <v>377</v>
      </c>
      <c r="D12" s="339" t="s">
        <v>378</v>
      </c>
      <c r="G12" s="219"/>
      <c r="H12" s="340">
        <v>0.6295281976163527</v>
      </c>
      <c r="I12" s="341">
        <v>0.65629438351611835</v>
      </c>
      <c r="J12" s="341">
        <v>0.6559336840002663</v>
      </c>
      <c r="K12" s="341">
        <v>0.6483540409732812</v>
      </c>
      <c r="L12" s="341">
        <v>0.61678909471754917</v>
      </c>
      <c r="M12" s="341">
        <v>0.67661128259013581</v>
      </c>
      <c r="N12" s="341">
        <v>0.44314675744910342</v>
      </c>
      <c r="O12" s="341">
        <v>0</v>
      </c>
      <c r="P12" s="341">
        <v>0.72558782278149159</v>
      </c>
      <c r="Q12" s="341">
        <v>0.6996880625451678</v>
      </c>
      <c r="R12" s="341">
        <v>0.76854490938166309</v>
      </c>
      <c r="S12" s="341">
        <v>0.75197613287124832</v>
      </c>
      <c r="T12" s="341">
        <v>0.69258955272185907</v>
      </c>
      <c r="U12" s="341">
        <v>0.6114022133180691</v>
      </c>
      <c r="V12" s="341">
        <v>0.62329116440112842</v>
      </c>
      <c r="W12" s="341">
        <v>0.63550799873537789</v>
      </c>
      <c r="X12" s="342">
        <f>X10/X5</f>
        <v>0.62810636182902591</v>
      </c>
      <c r="Y12" s="342">
        <f t="shared" ref="Y12:AE12" si="6">Y10/Y5</f>
        <v>0.61289143414158642</v>
      </c>
      <c r="Z12" s="342">
        <f t="shared" si="6"/>
        <v>0.6080110997164746</v>
      </c>
      <c r="AA12" s="342">
        <f t="shared" si="6"/>
        <v>0.59958358120166566</v>
      </c>
      <c r="AB12" s="342">
        <f t="shared" si="6"/>
        <v>0.54568293329718265</v>
      </c>
      <c r="AC12" s="342">
        <f t="shared" si="6"/>
        <v>0.54568293329718265</v>
      </c>
      <c r="AD12" s="342">
        <f t="shared" si="6"/>
        <v>0.54568293329718265</v>
      </c>
      <c r="AE12" s="342">
        <f t="shared" si="6"/>
        <v>0.54568293329718265</v>
      </c>
      <c r="AF12" s="319"/>
      <c r="AH12" s="321"/>
      <c r="AI12" s="321"/>
      <c r="AJ12" s="321" t="s">
        <v>273</v>
      </c>
      <c r="AK12" s="354">
        <f>AK10/AK5</f>
        <v>0.64753224412458865</v>
      </c>
      <c r="AL12" s="354">
        <f t="shared" ref="AL12:AP12" si="7">AL10/AL5</f>
        <v>0.43694173353935101</v>
      </c>
      <c r="AM12" s="354">
        <f t="shared" si="7"/>
        <v>0.73634853570253378</v>
      </c>
      <c r="AN12" s="354">
        <f t="shared" si="7"/>
        <v>0.64049823434479025</v>
      </c>
      <c r="AO12" s="354">
        <f t="shared" si="7"/>
        <v>0.61198537110945872</v>
      </c>
      <c r="AP12" s="354">
        <f t="shared" si="7"/>
        <v>0.54568293329718265</v>
      </c>
      <c r="AQ12" s="382">
        <f>AP12</f>
        <v>0.54568293329718265</v>
      </c>
    </row>
    <row r="13" spans="1:43" s="344" customFormat="1" x14ac:dyDescent="0.15">
      <c r="A13" s="343" t="s">
        <v>379</v>
      </c>
      <c r="H13" s="345">
        <v>248.7</v>
      </c>
      <c r="I13" s="346">
        <v>252.3</v>
      </c>
      <c r="J13" s="346">
        <v>254.3</v>
      </c>
      <c r="K13" s="346">
        <v>261.39999999999998</v>
      </c>
      <c r="L13" s="346">
        <v>263.10000000000002</v>
      </c>
      <c r="M13" s="346">
        <v>261.8</v>
      </c>
      <c r="N13" s="346">
        <v>231.9</v>
      </c>
      <c r="O13" s="346">
        <v>188.2</v>
      </c>
      <c r="P13" s="346">
        <v>143.5</v>
      </c>
      <c r="Q13" s="346">
        <v>115.7</v>
      </c>
      <c r="R13" s="346">
        <v>179.3</v>
      </c>
      <c r="S13" s="346">
        <v>88.5</v>
      </c>
      <c r="T13" s="346">
        <v>81.400000000000006</v>
      </c>
      <c r="U13" s="346">
        <v>171.6</v>
      </c>
      <c r="V13" s="346">
        <v>295.39999999999998</v>
      </c>
      <c r="W13" s="346">
        <v>275</v>
      </c>
      <c r="X13" s="347">
        <f>X5-X10-X11</f>
        <v>241.09899999999993</v>
      </c>
      <c r="Y13" s="347">
        <f t="shared" ref="Y13:AE13" si="8">Y5-Y10-Y11</f>
        <v>270.10000000000014</v>
      </c>
      <c r="Z13" s="347">
        <f t="shared" si="8"/>
        <v>264.92900000000003</v>
      </c>
      <c r="AA13" s="347">
        <f t="shared" si="8"/>
        <v>293.66499999999996</v>
      </c>
      <c r="AB13" s="347">
        <f t="shared" si="8"/>
        <v>482.63047599999993</v>
      </c>
      <c r="AC13" s="347">
        <f t="shared" si="8"/>
        <v>482.63047599999993</v>
      </c>
      <c r="AD13" s="347">
        <f t="shared" si="8"/>
        <v>482.63047599999993</v>
      </c>
      <c r="AE13" s="347">
        <f t="shared" si="8"/>
        <v>482.63047599999993</v>
      </c>
      <c r="AF13" s="348"/>
      <c r="AH13" s="316"/>
      <c r="AI13" s="316"/>
      <c r="AJ13" s="321" t="s">
        <v>384</v>
      </c>
      <c r="AK13" s="354">
        <f>AK11/AK5</f>
        <v>0.18348527407505899</v>
      </c>
      <c r="AL13" s="354">
        <f t="shared" ref="AL13:AP13" si="9">AL11/AL5</f>
        <v>0.40605283357424116</v>
      </c>
      <c r="AM13" s="354">
        <f t="shared" si="9"/>
        <v>0.17694531095755184</v>
      </c>
      <c r="AN13" s="354">
        <f t="shared" si="9"/>
        <v>0.22793248965373983</v>
      </c>
      <c r="AO13" s="354">
        <f t="shared" si="9"/>
        <v>0.22567142662033174</v>
      </c>
      <c r="AP13" s="354">
        <f t="shared" si="9"/>
        <v>0.21518007969011865</v>
      </c>
      <c r="AQ13" s="382">
        <f>AP13</f>
        <v>0.21518007969011865</v>
      </c>
    </row>
    <row r="14" spans="1:43" s="317" customFormat="1" ht="15" x14ac:dyDescent="0.15">
      <c r="A14" s="326" t="s">
        <v>387</v>
      </c>
      <c r="B14" s="327"/>
      <c r="C14" s="327"/>
      <c r="D14" s="327"/>
      <c r="E14" s="327"/>
      <c r="F14" s="327"/>
      <c r="G14" s="328"/>
      <c r="H14" s="329"/>
      <c r="I14" s="330">
        <f t="shared" ref="I14:AE14" si="10">(I13-H13)/H13</f>
        <v>1.4475271411339054E-2</v>
      </c>
      <c r="J14" s="330">
        <f t="shared" si="10"/>
        <v>7.9270709472849775E-3</v>
      </c>
      <c r="K14" s="330">
        <f t="shared" si="10"/>
        <v>2.7919779787652244E-2</v>
      </c>
      <c r="L14" s="330">
        <f t="shared" si="10"/>
        <v>6.5034429992350635E-3</v>
      </c>
      <c r="M14" s="330">
        <f t="shared" si="10"/>
        <v>-4.9410870391486551E-3</v>
      </c>
      <c r="N14" s="330">
        <f t="shared" si="10"/>
        <v>-0.11420932009167305</v>
      </c>
      <c r="O14" s="330">
        <f t="shared" si="10"/>
        <v>-0.18844329452350159</v>
      </c>
      <c r="P14" s="330">
        <f t="shared" si="10"/>
        <v>-0.23751328374070133</v>
      </c>
      <c r="Q14" s="330">
        <f t="shared" si="10"/>
        <v>-0.19372822299651565</v>
      </c>
      <c r="R14" s="330">
        <f t="shared" si="10"/>
        <v>0.54969749351771835</v>
      </c>
      <c r="S14" s="330">
        <f t="shared" si="10"/>
        <v>-0.50641383156720587</v>
      </c>
      <c r="T14" s="330">
        <f t="shared" si="10"/>
        <v>-8.022598870056491E-2</v>
      </c>
      <c r="U14" s="330">
        <f t="shared" si="10"/>
        <v>1.1081081081081079</v>
      </c>
      <c r="V14" s="330">
        <f t="shared" si="10"/>
        <v>0.72144522144522139</v>
      </c>
      <c r="W14" s="330">
        <f t="shared" si="10"/>
        <v>-6.9058903182125861E-2</v>
      </c>
      <c r="X14" s="330">
        <f t="shared" si="10"/>
        <v>-0.12327636363636388</v>
      </c>
      <c r="Y14" s="330">
        <f t="shared" si="10"/>
        <v>0.12028668721147832</v>
      </c>
      <c r="Z14" s="330">
        <f t="shared" si="10"/>
        <v>-1.9144761199556104E-2</v>
      </c>
      <c r="AA14" s="330">
        <f t="shared" si="10"/>
        <v>0.10846679676441587</v>
      </c>
      <c r="AB14" s="330">
        <f t="shared" si="10"/>
        <v>0.64347292322884919</v>
      </c>
      <c r="AC14" s="330">
        <f t="shared" si="10"/>
        <v>0</v>
      </c>
      <c r="AD14" s="330">
        <f t="shared" si="10"/>
        <v>0</v>
      </c>
      <c r="AE14" s="330">
        <f t="shared" si="10"/>
        <v>0</v>
      </c>
      <c r="AF14" s="331"/>
      <c r="AH14" s="316"/>
      <c r="AI14" s="316"/>
      <c r="AJ14" s="316" t="s">
        <v>82</v>
      </c>
      <c r="AK14" s="325">
        <f>SUM(H13:K13)</f>
        <v>1016.6999999999999</v>
      </c>
      <c r="AL14" s="325">
        <f>SUM(L13:O13)</f>
        <v>945</v>
      </c>
      <c r="AM14" s="325">
        <f>SUM(P13:S13)</f>
        <v>527</v>
      </c>
      <c r="AN14" s="325">
        <f>SUM(T13:W13)</f>
        <v>823.4</v>
      </c>
      <c r="AO14" s="325">
        <f>SUM(X13:AA13)</f>
        <v>1069.7930000000001</v>
      </c>
      <c r="AP14" s="386">
        <f>SUM(AB13:AE13)</f>
        <v>1930.5219039999997</v>
      </c>
      <c r="AQ14" s="386">
        <f>AQ10-AQ11-(AQ10*AQ13)</f>
        <v>1788.9970570980461</v>
      </c>
    </row>
    <row r="15" spans="1:43" s="316" customFormat="1" x14ac:dyDescent="0.15">
      <c r="H15" s="219"/>
      <c r="I15" s="349"/>
      <c r="J15" s="349"/>
      <c r="K15" s="349"/>
      <c r="L15" s="349"/>
      <c r="M15" s="349"/>
      <c r="N15" s="349"/>
      <c r="O15" s="349"/>
      <c r="P15" s="349"/>
      <c r="Q15" s="349"/>
      <c r="R15" s="349"/>
      <c r="S15" s="350"/>
      <c r="T15" s="350"/>
      <c r="U15" s="349"/>
      <c r="V15" s="349"/>
      <c r="W15" s="349"/>
      <c r="X15" s="351"/>
      <c r="Y15" s="351"/>
      <c r="Z15" s="351"/>
      <c r="AA15" s="351"/>
      <c r="AB15" s="351"/>
      <c r="AC15" s="351"/>
      <c r="AD15" s="351"/>
      <c r="AE15" s="351"/>
      <c r="AF15" s="319"/>
      <c r="AJ15" s="316" t="s">
        <v>536</v>
      </c>
      <c r="AK15" s="325"/>
      <c r="AL15" s="354">
        <f>(AL14-AK14)/AK14</f>
        <v>-7.0522277958099677E-2</v>
      </c>
      <c r="AM15" s="354">
        <f>(AM14-AL14)/AL14</f>
        <v>-0.44232804232804235</v>
      </c>
      <c r="AN15" s="354">
        <f>(AN14-AM14)/AM14</f>
        <v>0.56242884250474379</v>
      </c>
      <c r="AO15" s="354">
        <f>(AO14-AN14)/AN14</f>
        <v>0.29923852319650251</v>
      </c>
      <c r="AP15" s="354">
        <f>(AP14-AO14)/AO14</f>
        <v>0.80457518791018401</v>
      </c>
      <c r="AQ15" s="354">
        <f t="shared" ref="AQ15" si="11">(AQ14-AP14)/AP14</f>
        <v>-7.3309112219196906E-2</v>
      </c>
    </row>
    <row r="16" spans="1:43" s="316" customFormat="1" x14ac:dyDescent="0.15">
      <c r="A16" s="352" t="s">
        <v>380</v>
      </c>
      <c r="H16" s="219"/>
      <c r="I16" s="349"/>
      <c r="J16" s="349"/>
      <c r="K16" s="349"/>
      <c r="L16" s="349"/>
      <c r="M16" s="349"/>
      <c r="N16" s="349"/>
      <c r="O16" s="349"/>
      <c r="P16" s="349"/>
      <c r="Q16" s="349"/>
      <c r="R16" s="349"/>
      <c r="S16" s="350"/>
      <c r="T16" s="350"/>
      <c r="U16" s="349"/>
      <c r="V16" s="349"/>
      <c r="W16" s="349"/>
      <c r="X16" s="351"/>
      <c r="Y16" s="351"/>
      <c r="Z16" s="351"/>
      <c r="AA16" s="351"/>
      <c r="AB16" s="351"/>
      <c r="AC16" s="351"/>
      <c r="AD16" s="351"/>
      <c r="AE16" s="351"/>
      <c r="AF16" s="319"/>
      <c r="AJ16" s="312"/>
      <c r="AK16" s="313"/>
    </row>
    <row r="17" spans="1:43" s="316" customFormat="1" x14ac:dyDescent="0.15">
      <c r="A17" s="353" t="s">
        <v>381</v>
      </c>
      <c r="G17" s="321">
        <v>622.1</v>
      </c>
      <c r="H17" s="321">
        <v>641.6</v>
      </c>
      <c r="I17" s="325">
        <v>644.79999999999995</v>
      </c>
      <c r="J17" s="325">
        <v>648</v>
      </c>
      <c r="K17" s="325">
        <v>648</v>
      </c>
      <c r="L17" s="325">
        <v>666.2</v>
      </c>
      <c r="M17" s="325">
        <v>664.4</v>
      </c>
      <c r="N17" s="325">
        <v>646.70000000000005</v>
      </c>
      <c r="O17" s="325">
        <f>N17</f>
        <v>646.70000000000005</v>
      </c>
      <c r="P17" s="325">
        <v>672.9</v>
      </c>
      <c r="Q17" s="325">
        <v>672.2</v>
      </c>
      <c r="R17" s="325">
        <v>663.8</v>
      </c>
      <c r="S17" s="325">
        <v>682.9</v>
      </c>
      <c r="T17" s="325">
        <v>685.5</v>
      </c>
      <c r="U17" s="325">
        <v>706.5</v>
      </c>
      <c r="V17" s="325">
        <v>713.1</v>
      </c>
      <c r="W17" s="325">
        <v>732.9</v>
      </c>
      <c r="X17" s="324">
        <v>745</v>
      </c>
      <c r="Y17" s="324">
        <v>772.3</v>
      </c>
      <c r="Z17" s="324">
        <v>775</v>
      </c>
      <c r="AA17" s="324">
        <f>(AA20*AA22)/1000000</f>
        <v>775</v>
      </c>
      <c r="AB17" s="324">
        <f t="shared" ref="AB17:AE17" si="12">(AB20*AB22)/1000000</f>
        <v>894.04</v>
      </c>
      <c r="AC17" s="324">
        <f t="shared" si="12"/>
        <v>894.04</v>
      </c>
      <c r="AD17" s="324">
        <f t="shared" si="12"/>
        <v>894.04</v>
      </c>
      <c r="AE17" s="324">
        <f t="shared" si="12"/>
        <v>894.04</v>
      </c>
      <c r="AF17" s="319"/>
    </row>
    <row r="18" spans="1:43" s="317" customFormat="1" ht="17" customHeight="1" outlineLevel="1" x14ac:dyDescent="0.15">
      <c r="A18" s="326" t="s">
        <v>387</v>
      </c>
      <c r="B18" s="327"/>
      <c r="C18" s="327"/>
      <c r="D18" s="327"/>
      <c r="E18" s="327"/>
      <c r="F18" s="327"/>
      <c r="G18" s="328"/>
      <c r="H18" s="329"/>
      <c r="I18" s="330">
        <f>(I17-H17)/H17</f>
        <v>4.9875311720697186E-3</v>
      </c>
      <c r="J18" s="330">
        <f t="shared" ref="J18:AE18" si="13">(J17-I17)/I17</f>
        <v>4.9627791563276145E-3</v>
      </c>
      <c r="K18" s="330">
        <f t="shared" si="13"/>
        <v>0</v>
      </c>
      <c r="L18" s="330">
        <f t="shared" si="13"/>
        <v>2.808641975308649E-2</v>
      </c>
      <c r="M18" s="330">
        <f t="shared" si="13"/>
        <v>-2.7018913239268507E-3</v>
      </c>
      <c r="N18" s="330">
        <f t="shared" si="13"/>
        <v>-2.6640577965081173E-2</v>
      </c>
      <c r="O18" s="330">
        <f t="shared" si="13"/>
        <v>0</v>
      </c>
      <c r="P18" s="330">
        <f t="shared" si="13"/>
        <v>4.0513375599195808E-2</v>
      </c>
      <c r="Q18" s="330">
        <f t="shared" si="13"/>
        <v>-1.040273443304996E-3</v>
      </c>
      <c r="R18" s="330">
        <f t="shared" si="13"/>
        <v>-1.2496280868789185E-2</v>
      </c>
      <c r="S18" s="330">
        <f t="shared" si="13"/>
        <v>2.877372702621275E-2</v>
      </c>
      <c r="T18" s="330">
        <f t="shared" si="13"/>
        <v>3.8072924293454718E-3</v>
      </c>
      <c r="U18" s="330">
        <f t="shared" si="13"/>
        <v>3.0634573304157548E-2</v>
      </c>
      <c r="V18" s="330">
        <f t="shared" si="13"/>
        <v>9.3418259023354891E-3</v>
      </c>
      <c r="W18" s="330">
        <f t="shared" si="13"/>
        <v>2.7766091712242258E-2</v>
      </c>
      <c r="X18" s="330">
        <f t="shared" si="13"/>
        <v>1.6509755764770123E-2</v>
      </c>
      <c r="Y18" s="330">
        <f t="shared" si="13"/>
        <v>3.6644295302013359E-2</v>
      </c>
      <c r="Z18" s="330">
        <f t="shared" si="13"/>
        <v>3.496050757477723E-3</v>
      </c>
      <c r="AA18" s="330">
        <f t="shared" si="13"/>
        <v>0</v>
      </c>
      <c r="AB18" s="330">
        <f t="shared" si="13"/>
        <v>0.15359999999999996</v>
      </c>
      <c r="AC18" s="330">
        <f t="shared" si="13"/>
        <v>0</v>
      </c>
      <c r="AD18" s="330">
        <f t="shared" si="13"/>
        <v>0</v>
      </c>
      <c r="AE18" s="330">
        <f t="shared" si="13"/>
        <v>0</v>
      </c>
      <c r="AF18" s="331"/>
      <c r="AH18" s="316"/>
      <c r="AI18" s="316"/>
      <c r="AJ18" s="316"/>
      <c r="AK18" s="316"/>
      <c r="AL18" s="316"/>
      <c r="AM18" s="316"/>
      <c r="AN18" s="316"/>
      <c r="AO18" s="316"/>
      <c r="AP18" s="316"/>
      <c r="AQ18" s="316"/>
    </row>
    <row r="19" spans="1:43" s="316" customFormat="1" outlineLevel="1" x14ac:dyDescent="0.15">
      <c r="A19" s="353" t="s">
        <v>533</v>
      </c>
      <c r="G19" s="321"/>
      <c r="H19" s="332">
        <f t="shared" ref="H19:AE19" si="14">H17/H5</f>
        <v>0.42719222318396699</v>
      </c>
      <c r="I19" s="354">
        <f t="shared" si="14"/>
        <v>0.4285809238949817</v>
      </c>
      <c r="J19" s="354">
        <f t="shared" si="14"/>
        <v>0.43145349224315865</v>
      </c>
      <c r="K19" s="355">
        <f t="shared" si="14"/>
        <v>0.42962275409401313</v>
      </c>
      <c r="L19" s="354">
        <f t="shared" si="14"/>
        <v>0.43608038227400669</v>
      </c>
      <c r="M19" s="354">
        <f t="shared" si="14"/>
        <v>0.43633020292900765</v>
      </c>
      <c r="N19" s="354">
        <f t="shared" si="14"/>
        <v>0.43595793447485509</v>
      </c>
      <c r="O19" s="354">
        <f t="shared" si="14"/>
        <v>0.43545889165712753</v>
      </c>
      <c r="P19" s="354">
        <f t="shared" si="14"/>
        <v>0.44101454974439636</v>
      </c>
      <c r="Q19" s="354">
        <f t="shared" si="14"/>
        <v>0.44162669995401094</v>
      </c>
      <c r="R19" s="354">
        <f t="shared" si="14"/>
        <v>0.44229744136460553</v>
      </c>
      <c r="S19" s="354">
        <f t="shared" si="14"/>
        <v>0.44654417053553913</v>
      </c>
      <c r="T19" s="354">
        <f t="shared" si="14"/>
        <v>0.44371804000258913</v>
      </c>
      <c r="U19" s="354">
        <f t="shared" si="14"/>
        <v>0.44934172867773325</v>
      </c>
      <c r="V19" s="354">
        <f t="shared" si="14"/>
        <v>0.45723262374967943</v>
      </c>
      <c r="W19" s="354">
        <f t="shared" si="14"/>
        <v>0.46342080303509325</v>
      </c>
      <c r="X19" s="354">
        <f t="shared" si="14"/>
        <v>0.46284791252485091</v>
      </c>
      <c r="Y19" s="354">
        <f t="shared" si="14"/>
        <v>0.47051297672718406</v>
      </c>
      <c r="Z19" s="354">
        <f t="shared" si="14"/>
        <v>0.46751523194787958</v>
      </c>
      <c r="AA19" s="354">
        <f t="shared" si="14"/>
        <v>0.46103509815585964</v>
      </c>
      <c r="AB19" s="354">
        <f t="shared" si="14"/>
        <v>0.44298493878955369</v>
      </c>
      <c r="AC19" s="354">
        <f t="shared" si="14"/>
        <v>0.44298493878955369</v>
      </c>
      <c r="AD19" s="354">
        <f t="shared" si="14"/>
        <v>0.44298493878955369</v>
      </c>
      <c r="AE19" s="354">
        <f t="shared" si="14"/>
        <v>0.44298493878955369</v>
      </c>
      <c r="AF19" s="319"/>
      <c r="AN19" s="317"/>
      <c r="AO19" s="317"/>
      <c r="AP19" s="317"/>
      <c r="AQ19" s="317"/>
    </row>
    <row r="20" spans="1:43" s="316" customFormat="1" ht="15" outlineLevel="1" x14ac:dyDescent="0.15">
      <c r="A20" s="326" t="s">
        <v>532</v>
      </c>
      <c r="G20" s="321"/>
      <c r="H20" s="332"/>
      <c r="I20" s="354"/>
      <c r="J20" s="354"/>
      <c r="K20" s="355"/>
      <c r="L20" s="354"/>
      <c r="M20" s="354"/>
      <c r="N20" s="354"/>
      <c r="O20" s="354"/>
      <c r="P20" s="354"/>
      <c r="Q20" s="354"/>
      <c r="R20" s="354"/>
      <c r="S20" s="354"/>
      <c r="T20" s="354"/>
      <c r="U20" s="354"/>
      <c r="V20" s="354"/>
      <c r="W20" s="354"/>
      <c r="X20" s="356">
        <f>X7*X19</f>
        <v>17588220.675944336</v>
      </c>
      <c r="Y20" s="356">
        <f>Y7*Y19</f>
        <v>17879493.115632996</v>
      </c>
      <c r="Z20" s="356">
        <f>Z7*Z19</f>
        <v>17765578.814019423</v>
      </c>
      <c r="AA20" s="357">
        <f>Z20*(1+AA21)</f>
        <v>17765578.814019423</v>
      </c>
      <c r="AB20" s="357">
        <f t="shared" ref="AB20:AE20" si="15">AA20*(1+AB21)</f>
        <v>18298546.178440005</v>
      </c>
      <c r="AC20" s="357">
        <f t="shared" si="15"/>
        <v>18298546.178440005</v>
      </c>
      <c r="AD20" s="357">
        <f t="shared" si="15"/>
        <v>18298546.178440005</v>
      </c>
      <c r="AE20" s="357">
        <f t="shared" si="15"/>
        <v>18298546.178440005</v>
      </c>
      <c r="AF20" s="319"/>
      <c r="AP20" s="332"/>
    </row>
    <row r="21" spans="1:43" s="317" customFormat="1" ht="17" customHeight="1" outlineLevel="1" x14ac:dyDescent="0.15">
      <c r="A21" s="358" t="s">
        <v>387</v>
      </c>
      <c r="B21" s="327"/>
      <c r="C21" s="327"/>
      <c r="D21" s="327"/>
      <c r="E21" s="327"/>
      <c r="F21" s="327"/>
      <c r="G21" s="328"/>
      <c r="H21" s="329"/>
      <c r="I21" s="330"/>
      <c r="J21" s="330"/>
      <c r="K21" s="359"/>
      <c r="L21" s="330"/>
      <c r="M21" s="330"/>
      <c r="N21" s="330"/>
      <c r="O21" s="330"/>
      <c r="P21" s="330"/>
      <c r="Q21" s="330"/>
      <c r="R21" s="330"/>
      <c r="S21" s="330"/>
      <c r="T21" s="330"/>
      <c r="U21" s="330"/>
      <c r="V21" s="330"/>
      <c r="W21" s="330"/>
      <c r="X21" s="360"/>
      <c r="Y21" s="361">
        <f>(Y20-X20)/X20</f>
        <v>1.6560654147752294E-2</v>
      </c>
      <c r="Z21" s="361">
        <f t="shared" ref="Z21" si="16">(Z20-Y20)/Y20</f>
        <v>-6.3712265709575189E-3</v>
      </c>
      <c r="AA21" s="362">
        <v>0</v>
      </c>
      <c r="AB21" s="362">
        <v>0.03</v>
      </c>
      <c r="AC21" s="362">
        <v>0</v>
      </c>
      <c r="AD21" s="362">
        <v>0</v>
      </c>
      <c r="AE21" s="362">
        <v>0</v>
      </c>
      <c r="AF21" s="331"/>
      <c r="AH21" s="316"/>
      <c r="AI21" s="316"/>
      <c r="AJ21" s="316"/>
      <c r="AK21" s="316"/>
      <c r="AL21" s="316"/>
      <c r="AM21" s="316"/>
      <c r="AN21" s="316"/>
      <c r="AO21" s="316"/>
      <c r="AP21" s="332"/>
      <c r="AQ21" s="316"/>
    </row>
    <row r="22" spans="1:43" s="316" customFormat="1" ht="30" outlineLevel="1" x14ac:dyDescent="0.15">
      <c r="A22" s="326" t="s">
        <v>534</v>
      </c>
      <c r="G22" s="321"/>
      <c r="H22" s="332"/>
      <c r="I22" s="354"/>
      <c r="J22" s="354"/>
      <c r="K22" s="355"/>
      <c r="L22" s="354"/>
      <c r="M22" s="354"/>
      <c r="N22" s="354"/>
      <c r="O22" s="354"/>
      <c r="P22" s="354"/>
      <c r="Q22" s="354"/>
      <c r="R22" s="354"/>
      <c r="S22" s="354"/>
      <c r="T22" s="354"/>
      <c r="U22" s="354"/>
      <c r="V22" s="354"/>
      <c r="W22" s="354"/>
      <c r="X22" s="363">
        <f>(X17*1000000)/X20</f>
        <v>42.357894736842098</v>
      </c>
      <c r="Y22" s="363">
        <f t="shared" ref="Y22:Z22" si="17">(Y17*1000000)/Y20</f>
        <v>43.194736842105264</v>
      </c>
      <c r="Z22" s="363">
        <f t="shared" si="17"/>
        <v>43.623684210526321</v>
      </c>
      <c r="AA22" s="364">
        <f>Z22*(1+AA23)</f>
        <v>43.623684210526321</v>
      </c>
      <c r="AB22" s="364">
        <f t="shared" ref="AB22:AE22" si="18">AA22*(1+AB23)</f>
        <v>48.858526315789483</v>
      </c>
      <c r="AC22" s="364">
        <f t="shared" si="18"/>
        <v>48.858526315789483</v>
      </c>
      <c r="AD22" s="364">
        <f t="shared" si="18"/>
        <v>48.858526315789483</v>
      </c>
      <c r="AE22" s="364">
        <f t="shared" si="18"/>
        <v>48.858526315789483</v>
      </c>
      <c r="AF22" s="319"/>
      <c r="AN22" s="317"/>
      <c r="AO22" s="317"/>
      <c r="AP22" s="317"/>
      <c r="AQ22" s="317"/>
    </row>
    <row r="23" spans="1:43" s="317" customFormat="1" ht="17" customHeight="1" outlineLevel="1" x14ac:dyDescent="0.15">
      <c r="A23" s="358" t="s">
        <v>387</v>
      </c>
      <c r="B23" s="327"/>
      <c r="C23" s="327"/>
      <c r="D23" s="327"/>
      <c r="E23" s="327"/>
      <c r="F23" s="327"/>
      <c r="G23" s="328"/>
      <c r="H23" s="329"/>
      <c r="I23" s="330"/>
      <c r="J23" s="330"/>
      <c r="K23" s="359"/>
      <c r="L23" s="330"/>
      <c r="M23" s="330"/>
      <c r="N23" s="330"/>
      <c r="O23" s="330"/>
      <c r="P23" s="330"/>
      <c r="Q23" s="330"/>
      <c r="R23" s="330"/>
      <c r="S23" s="330"/>
      <c r="T23" s="330"/>
      <c r="U23" s="330"/>
      <c r="V23" s="330"/>
      <c r="W23" s="330"/>
      <c r="X23" s="360"/>
      <c r="Y23" s="361">
        <f>(Y22-X22)/X22</f>
        <v>1.975646123260457E-2</v>
      </c>
      <c r="Z23" s="361">
        <f t="shared" ref="Z23" si="19">(Z22-Y22)/Y22</f>
        <v>9.9305470939442791E-3</v>
      </c>
      <c r="AA23" s="362">
        <v>0</v>
      </c>
      <c r="AB23" s="365">
        <v>0.12</v>
      </c>
      <c r="AC23" s="365">
        <v>0</v>
      </c>
      <c r="AD23" s="365">
        <v>0</v>
      </c>
      <c r="AE23" s="365">
        <v>0</v>
      </c>
      <c r="AF23" s="331"/>
      <c r="AH23" s="316"/>
      <c r="AI23" s="316"/>
      <c r="AJ23" s="316"/>
      <c r="AK23" s="316"/>
      <c r="AL23" s="316"/>
      <c r="AM23" s="316"/>
      <c r="AN23" s="316"/>
      <c r="AO23" s="316"/>
      <c r="AP23" s="332"/>
      <c r="AQ23" s="316"/>
    </row>
    <row r="24" spans="1:43" s="316" customFormat="1" x14ac:dyDescent="0.15">
      <c r="A24" s="353" t="s">
        <v>382</v>
      </c>
      <c r="G24" s="321">
        <v>473.9</v>
      </c>
      <c r="H24" s="321">
        <v>479.27520000000004</v>
      </c>
      <c r="I24" s="325">
        <v>481.66559999999998</v>
      </c>
      <c r="J24" s="325">
        <v>480.81599999999997</v>
      </c>
      <c r="K24" s="325">
        <v>481</v>
      </c>
      <c r="L24" s="325">
        <v>487.65840000000003</v>
      </c>
      <c r="M24" s="325">
        <v>483.68319999999994</v>
      </c>
      <c r="N24" s="325">
        <v>479.2047</v>
      </c>
      <c r="O24" s="325">
        <f>N24</f>
        <v>479.2047</v>
      </c>
      <c r="P24" s="325">
        <v>503.32919999999996</v>
      </c>
      <c r="Q24" s="325">
        <v>502.13340000000005</v>
      </c>
      <c r="R24" s="325">
        <v>523.73820000000001</v>
      </c>
      <c r="S24" s="325">
        <v>534.71069999999997</v>
      </c>
      <c r="T24" s="325">
        <v>505.899</v>
      </c>
      <c r="U24" s="325">
        <v>469.11600000000004</v>
      </c>
      <c r="V24" s="325">
        <v>447.11369999999999</v>
      </c>
      <c r="W24" s="325">
        <v>469.7888999999999</v>
      </c>
      <c r="X24" s="324">
        <v>480</v>
      </c>
      <c r="Y24" s="324">
        <v>482</v>
      </c>
      <c r="Z24" s="324">
        <v>483</v>
      </c>
      <c r="AA24" s="324">
        <f>(AA25*AA20)/1000000</f>
        <v>483</v>
      </c>
      <c r="AB24" s="324">
        <f>(AB25*AB20)/1000000</f>
        <v>512.41470000000004</v>
      </c>
      <c r="AC24" s="324">
        <f t="shared" ref="AC24:AE24" si="20">(AC25*AC20)/1000000</f>
        <v>512.41470000000004</v>
      </c>
      <c r="AD24" s="324">
        <f t="shared" si="20"/>
        <v>512.41470000000004</v>
      </c>
      <c r="AE24" s="324">
        <f t="shared" si="20"/>
        <v>512.41470000000004</v>
      </c>
      <c r="AF24" s="319"/>
      <c r="AN24" s="317"/>
      <c r="AO24" s="317"/>
      <c r="AP24" s="317"/>
      <c r="AQ24" s="317"/>
    </row>
    <row r="25" spans="1:43" s="316" customFormat="1" outlineLevel="1" x14ac:dyDescent="0.15">
      <c r="A25" s="366" t="s">
        <v>541</v>
      </c>
      <c r="G25" s="321"/>
      <c r="H25" s="321"/>
      <c r="I25" s="325"/>
      <c r="J25" s="325"/>
      <c r="K25" s="325"/>
      <c r="L25" s="325"/>
      <c r="M25" s="325"/>
      <c r="N25" s="325"/>
      <c r="O25" s="325"/>
      <c r="P25" s="325"/>
      <c r="Q25" s="325"/>
      <c r="R25" s="325"/>
      <c r="S25" s="325"/>
      <c r="T25" s="325"/>
      <c r="U25" s="325"/>
      <c r="V25" s="325"/>
      <c r="W25" s="325"/>
      <c r="X25" s="378">
        <f>(X24*1000000)/X20</f>
        <v>27.290992582126453</v>
      </c>
      <c r="Y25" s="378">
        <f t="shared" ref="Y25:Z25" si="21">(Y24*1000000)/Y20</f>
        <v>26.958258653236744</v>
      </c>
      <c r="Z25" s="378">
        <f t="shared" si="21"/>
        <v>27.187405772495758</v>
      </c>
      <c r="AA25" s="367">
        <f>Z25*(1+AA26)</f>
        <v>27.187405772495758</v>
      </c>
      <c r="AB25" s="367">
        <f t="shared" ref="AB25:AE25" si="22">AA25*(1+AB26)</f>
        <v>28.003027945670631</v>
      </c>
      <c r="AC25" s="367">
        <f t="shared" si="22"/>
        <v>28.003027945670631</v>
      </c>
      <c r="AD25" s="367">
        <f t="shared" si="22"/>
        <v>28.003027945670631</v>
      </c>
      <c r="AE25" s="367">
        <f t="shared" si="22"/>
        <v>28.003027945670631</v>
      </c>
      <c r="AF25" s="319"/>
    </row>
    <row r="26" spans="1:43" s="316" customFormat="1" ht="15" outlineLevel="1" x14ac:dyDescent="0.15">
      <c r="A26" s="358" t="s">
        <v>387</v>
      </c>
      <c r="G26" s="321"/>
      <c r="H26" s="321"/>
      <c r="I26" s="325"/>
      <c r="J26" s="325"/>
      <c r="K26" s="325"/>
      <c r="L26" s="325"/>
      <c r="M26" s="325"/>
      <c r="N26" s="325"/>
      <c r="O26" s="325"/>
      <c r="P26" s="325"/>
      <c r="Q26" s="325"/>
      <c r="R26" s="325"/>
      <c r="S26" s="325"/>
      <c r="T26" s="325"/>
      <c r="U26" s="325"/>
      <c r="V26" s="325"/>
      <c r="W26" s="325"/>
      <c r="X26" s="324"/>
      <c r="Y26" s="361">
        <f>(Y25-X25)/X25</f>
        <v>-1.2192078682679538E-2</v>
      </c>
      <c r="Z26" s="361">
        <f t="shared" ref="Z26" si="23">(Z25-Y25)/Y25</f>
        <v>8.5000712474246499E-3</v>
      </c>
      <c r="AA26" s="362">
        <v>0</v>
      </c>
      <c r="AB26" s="362">
        <v>0.03</v>
      </c>
      <c r="AC26" s="362">
        <v>0</v>
      </c>
      <c r="AD26" s="362">
        <v>0</v>
      </c>
      <c r="AE26" s="362">
        <v>0</v>
      </c>
      <c r="AF26" s="319"/>
    </row>
    <row r="27" spans="1:43" s="316" customFormat="1" x14ac:dyDescent="0.15">
      <c r="A27" s="353" t="s">
        <v>383</v>
      </c>
      <c r="G27" s="321">
        <v>153.03659999999999</v>
      </c>
      <c r="H27" s="321">
        <v>161.6832</v>
      </c>
      <c r="I27" s="325">
        <v>164.42399999999998</v>
      </c>
      <c r="J27" s="325">
        <v>167.83199999999999</v>
      </c>
      <c r="K27" s="325">
        <v>168</v>
      </c>
      <c r="L27" s="325">
        <v>183.87120000000002</v>
      </c>
      <c r="M27" s="325">
        <v>185.36759999999998</v>
      </c>
      <c r="N27" s="325">
        <v>189.48310000000001</v>
      </c>
      <c r="O27" s="325">
        <f>N27</f>
        <v>189.48310000000001</v>
      </c>
      <c r="P27" s="325">
        <v>139.9632</v>
      </c>
      <c r="Q27" s="325">
        <v>192.92140000000001</v>
      </c>
      <c r="R27" s="325">
        <v>186.52780000000001</v>
      </c>
      <c r="S27" s="325">
        <v>204.18709999999999</v>
      </c>
      <c r="T27" s="325">
        <v>147.38249999999999</v>
      </c>
      <c r="U27" s="325">
        <v>213.363</v>
      </c>
      <c r="V27" s="325">
        <v>217.49549999999999</v>
      </c>
      <c r="W27" s="325">
        <v>217.67129999999997</v>
      </c>
      <c r="X27" s="324">
        <f>X17*X28</f>
        <v>212.32499999999999</v>
      </c>
      <c r="Y27" s="324">
        <f>Y17*Y28</f>
        <v>220.10549999999998</v>
      </c>
      <c r="Z27" s="324">
        <f>Z17*Z28</f>
        <v>232.5</v>
      </c>
      <c r="AA27" s="324">
        <f>AA17*AA28</f>
        <v>232.5</v>
      </c>
      <c r="AB27" s="324">
        <f>AB17*AB28</f>
        <v>254.80139999999997</v>
      </c>
      <c r="AC27" s="324">
        <f t="shared" ref="AC27:AE27" si="24">AC17*AC28</f>
        <v>254.80139999999997</v>
      </c>
      <c r="AD27" s="324">
        <f t="shared" si="24"/>
        <v>254.80139999999997</v>
      </c>
      <c r="AE27" s="324">
        <f t="shared" si="24"/>
        <v>254.80139999999997</v>
      </c>
      <c r="AF27" s="319"/>
    </row>
    <row r="28" spans="1:43" s="316" customFormat="1" x14ac:dyDescent="0.15">
      <c r="A28" s="353" t="s">
        <v>384</v>
      </c>
      <c r="G28" s="332">
        <v>0.246</v>
      </c>
      <c r="H28" s="332">
        <v>0.252</v>
      </c>
      <c r="I28" s="354">
        <v>0.255</v>
      </c>
      <c r="J28" s="354">
        <v>0.25900000000000001</v>
      </c>
      <c r="K28" s="355">
        <v>0.27100000000000002</v>
      </c>
      <c r="L28" s="354">
        <v>0.27600000000000002</v>
      </c>
      <c r="M28" s="354">
        <v>0.27899999999999997</v>
      </c>
      <c r="N28" s="354">
        <v>0.29299999999999998</v>
      </c>
      <c r="O28" s="354">
        <f>O27/O17</f>
        <v>0.29299999999999998</v>
      </c>
      <c r="P28" s="354">
        <v>0.20800000000000002</v>
      </c>
      <c r="Q28" s="354">
        <v>0.28699999999999998</v>
      </c>
      <c r="R28" s="354">
        <v>0.28100000000000003</v>
      </c>
      <c r="S28" s="354">
        <v>0.29899999999999999</v>
      </c>
      <c r="T28" s="354">
        <v>0.215</v>
      </c>
      <c r="U28" s="354">
        <v>0.30199999999999999</v>
      </c>
      <c r="V28" s="354">
        <v>0.30499999999999999</v>
      </c>
      <c r="W28" s="354">
        <v>0.29699999999999999</v>
      </c>
      <c r="X28" s="300">
        <v>0.28499999999999998</v>
      </c>
      <c r="Y28" s="300">
        <v>0.28499999999999998</v>
      </c>
      <c r="Z28" s="300">
        <v>0.3</v>
      </c>
      <c r="AA28" s="368">
        <v>0.3</v>
      </c>
      <c r="AB28" s="369">
        <v>0.28499999999999998</v>
      </c>
      <c r="AC28" s="369">
        <f>AB28</f>
        <v>0.28499999999999998</v>
      </c>
      <c r="AD28" s="369">
        <f t="shared" ref="AD28:AE28" si="25">AC28</f>
        <v>0.28499999999999998</v>
      </c>
      <c r="AE28" s="369">
        <f t="shared" si="25"/>
        <v>0.28499999999999998</v>
      </c>
      <c r="AF28" s="319"/>
    </row>
    <row r="29" spans="1:43" s="316" customFormat="1" x14ac:dyDescent="0.15">
      <c r="A29" s="353" t="s">
        <v>273</v>
      </c>
      <c r="G29" s="332">
        <v>0.76200000000000001</v>
      </c>
      <c r="H29" s="332">
        <v>0.747</v>
      </c>
      <c r="I29" s="354">
        <v>0.747</v>
      </c>
      <c r="J29" s="354">
        <v>0.74199999999999999</v>
      </c>
      <c r="K29" s="355">
        <v>0.74</v>
      </c>
      <c r="L29" s="354">
        <v>0.73199999999999998</v>
      </c>
      <c r="M29" s="354">
        <v>0.72799999999999998</v>
      </c>
      <c r="N29" s="354">
        <v>0.74099999999999999</v>
      </c>
      <c r="O29" s="354">
        <v>0</v>
      </c>
      <c r="P29" s="354">
        <v>0.748</v>
      </c>
      <c r="Q29" s="354">
        <v>0.747</v>
      </c>
      <c r="R29" s="354">
        <v>0.78900000000000003</v>
      </c>
      <c r="S29" s="354">
        <v>0.78299999999999992</v>
      </c>
      <c r="T29" s="354">
        <v>0.73799999999999999</v>
      </c>
      <c r="U29" s="354">
        <v>0.66400000000000003</v>
      </c>
      <c r="V29" s="354">
        <v>0.627</v>
      </c>
      <c r="W29" s="354">
        <v>0.6409999999999999</v>
      </c>
      <c r="X29" s="300">
        <v>0.57499999999999996</v>
      </c>
      <c r="Y29" s="300">
        <v>0.57499999999999996</v>
      </c>
      <c r="Z29" s="300">
        <v>0.57499999999999996</v>
      </c>
      <c r="AA29" s="370">
        <f>AA24/AA17</f>
        <v>0.62322580645161285</v>
      </c>
      <c r="AB29" s="370">
        <f t="shared" ref="AB29:AE29" si="26">AB24/AB17</f>
        <v>0.57314516129032267</v>
      </c>
      <c r="AC29" s="370">
        <f t="shared" si="26"/>
        <v>0.57314516129032267</v>
      </c>
      <c r="AD29" s="370">
        <f t="shared" si="26"/>
        <v>0.57314516129032267</v>
      </c>
      <c r="AE29" s="370">
        <f t="shared" si="26"/>
        <v>0.57314516129032267</v>
      </c>
      <c r="AF29" s="319"/>
    </row>
    <row r="30" spans="1:43" s="316" customFormat="1" x14ac:dyDescent="0.15">
      <c r="A30" s="353" t="s">
        <v>82</v>
      </c>
      <c r="G30" s="332"/>
      <c r="H30" s="371">
        <v>0.64159999999998263</v>
      </c>
      <c r="I30" s="372">
        <v>-1.2896000000000072</v>
      </c>
      <c r="J30" s="372">
        <v>-0.64799999999996771</v>
      </c>
      <c r="K30" s="373">
        <f>K17-K24-K27</f>
        <v>-1</v>
      </c>
      <c r="L30" s="372">
        <f>L17-L24-L27</f>
        <v>-5.3295999999999992</v>
      </c>
      <c r="M30" s="372">
        <f>M17-M24-M27</f>
        <v>-4.650799999999947</v>
      </c>
      <c r="N30" s="372">
        <f>N17-N24-N27</f>
        <v>-21.987799999999964</v>
      </c>
      <c r="O30" s="372">
        <f>O17-O24-O27</f>
        <v>-21.987799999999964</v>
      </c>
      <c r="P30" s="372">
        <v>29.607600000000019</v>
      </c>
      <c r="Q30" s="372">
        <v>-22.854800000000012</v>
      </c>
      <c r="R30" s="372">
        <v>-46.466000000000065</v>
      </c>
      <c r="S30" s="372">
        <v>-55.997799999999984</v>
      </c>
      <c r="T30" s="372">
        <v>32.218500000000006</v>
      </c>
      <c r="U30" s="372">
        <v>24.020999999999958</v>
      </c>
      <c r="V30" s="372">
        <v>48.490800000000036</v>
      </c>
      <c r="W30" s="372">
        <v>45.439800000000105</v>
      </c>
      <c r="X30" s="374">
        <f t="shared" ref="X30:AE30" si="27">X17-X24-X27</f>
        <v>52.675000000000011</v>
      </c>
      <c r="Y30" s="374">
        <f t="shared" si="27"/>
        <v>70.194499999999977</v>
      </c>
      <c r="Z30" s="374">
        <f t="shared" si="27"/>
        <v>59.5</v>
      </c>
      <c r="AA30" s="324">
        <f t="shared" si="27"/>
        <v>59.5</v>
      </c>
      <c r="AB30" s="374">
        <f t="shared" si="27"/>
        <v>126.82389999999995</v>
      </c>
      <c r="AC30" s="374">
        <f t="shared" si="27"/>
        <v>126.82389999999995</v>
      </c>
      <c r="AD30" s="374">
        <f t="shared" si="27"/>
        <v>126.82389999999995</v>
      </c>
      <c r="AE30" s="374">
        <f t="shared" si="27"/>
        <v>126.82389999999995</v>
      </c>
      <c r="AF30" s="319"/>
    </row>
    <row r="31" spans="1:43" s="316" customFormat="1" x14ac:dyDescent="0.15">
      <c r="A31" s="353" t="s">
        <v>385</v>
      </c>
      <c r="G31" s="332"/>
      <c r="H31" s="332">
        <v>2.5798150381985633E-3</v>
      </c>
      <c r="I31" s="354">
        <v>-5.111375346809382E-3</v>
      </c>
      <c r="J31" s="354">
        <v>-2.5481714510419491E-3</v>
      </c>
      <c r="K31" s="355">
        <v>0</v>
      </c>
      <c r="L31" s="354">
        <v>-2.0256936526035722E-2</v>
      </c>
      <c r="M31" s="354">
        <v>-1.7764705882352738E-2</v>
      </c>
      <c r="N31" s="354">
        <v>-9.4815868909012349E-2</v>
      </c>
      <c r="O31" s="354">
        <v>0</v>
      </c>
      <c r="P31" s="354">
        <v>0.20632473867595832</v>
      </c>
      <c r="Q31" s="354">
        <v>-0.19753500432152127</v>
      </c>
      <c r="R31" s="354">
        <v>-0.25915225878416098</v>
      </c>
      <c r="S31" s="354">
        <v>-0.63274350282485858</v>
      </c>
      <c r="T31" s="354">
        <v>0.39580466830466837</v>
      </c>
      <c r="U31" s="354">
        <v>0.13998251748251725</v>
      </c>
      <c r="V31" s="354">
        <v>0.16415301286391348</v>
      </c>
      <c r="W31" s="354">
        <v>0.16523563636363675</v>
      </c>
      <c r="X31" s="300">
        <f>X30/X13</f>
        <v>0.21847871621201259</v>
      </c>
      <c r="Y31" s="300">
        <f t="shared" ref="Y31:AE31" si="28">Y30/Y13</f>
        <v>0.25988337652721194</v>
      </c>
      <c r="Z31" s="300">
        <f t="shared" si="28"/>
        <v>0.2245884746479245</v>
      </c>
      <c r="AA31" s="300">
        <f t="shared" si="28"/>
        <v>0.20261181959034957</v>
      </c>
      <c r="AB31" s="300">
        <f t="shared" si="28"/>
        <v>0.26277640204386921</v>
      </c>
      <c r="AC31" s="300">
        <f t="shared" si="28"/>
        <v>0.26277640204386921</v>
      </c>
      <c r="AD31" s="300">
        <f t="shared" si="28"/>
        <v>0.26277640204386921</v>
      </c>
      <c r="AE31" s="300">
        <f t="shared" si="28"/>
        <v>0.26277640204386921</v>
      </c>
      <c r="AF31" s="319"/>
    </row>
    <row r="32" spans="1:43" s="316" customFormat="1" x14ac:dyDescent="0.15">
      <c r="A32" s="353"/>
      <c r="G32" s="332"/>
      <c r="I32" s="354"/>
      <c r="J32" s="354"/>
      <c r="K32" s="355"/>
      <c r="L32" s="354"/>
      <c r="M32" s="354"/>
      <c r="N32" s="354"/>
      <c r="O32" s="354"/>
      <c r="P32" s="354"/>
      <c r="Q32" s="354"/>
      <c r="R32" s="354"/>
      <c r="S32" s="354"/>
      <c r="T32" s="354"/>
      <c r="U32" s="354"/>
      <c r="V32" s="354"/>
      <c r="W32" s="354"/>
      <c r="X32" s="375"/>
      <c r="Y32" s="375"/>
      <c r="Z32" s="375"/>
      <c r="AA32" s="376"/>
      <c r="AB32" s="375"/>
      <c r="AC32" s="375"/>
      <c r="AD32" s="375"/>
      <c r="AE32" s="376"/>
      <c r="AF32" s="319"/>
    </row>
    <row r="33" spans="1:43" s="316" customFormat="1" x14ac:dyDescent="0.15">
      <c r="A33" s="352" t="s">
        <v>386</v>
      </c>
      <c r="I33" s="319"/>
      <c r="J33" s="319"/>
      <c r="K33" s="319"/>
      <c r="L33" s="319"/>
      <c r="M33" s="319"/>
      <c r="N33" s="319"/>
      <c r="O33" s="319"/>
      <c r="P33" s="319"/>
      <c r="Q33" s="319"/>
      <c r="R33" s="319"/>
      <c r="S33" s="319"/>
      <c r="T33" s="319"/>
      <c r="U33" s="319"/>
      <c r="V33" s="319"/>
      <c r="W33" s="319"/>
      <c r="X33" s="375"/>
      <c r="Y33" s="375"/>
      <c r="Z33" s="375"/>
      <c r="AA33" s="376"/>
      <c r="AB33" s="375"/>
      <c r="AC33" s="375"/>
      <c r="AD33" s="375"/>
      <c r="AE33" s="376"/>
      <c r="AF33" s="319"/>
    </row>
    <row r="34" spans="1:43" s="316" customFormat="1" x14ac:dyDescent="0.15">
      <c r="A34" s="353" t="s">
        <v>381</v>
      </c>
      <c r="H34" s="321">
        <v>404.9</v>
      </c>
      <c r="I34" s="325">
        <v>398</v>
      </c>
      <c r="J34" s="325">
        <v>397.4</v>
      </c>
      <c r="K34" s="325">
        <v>396.7</v>
      </c>
      <c r="L34" s="325">
        <v>405.3</v>
      </c>
      <c r="M34" s="325">
        <v>401.8</v>
      </c>
      <c r="N34" s="325">
        <v>390.7</v>
      </c>
      <c r="O34" s="325">
        <v>389</v>
      </c>
      <c r="P34" s="325">
        <v>401.5</v>
      </c>
      <c r="Q34" s="325">
        <v>393.3</v>
      </c>
      <c r="R34" s="325">
        <v>393.2</v>
      </c>
      <c r="S34" s="325">
        <v>391.2</v>
      </c>
      <c r="T34" s="325">
        <v>402.8</v>
      </c>
      <c r="U34" s="325">
        <v>401.1</v>
      </c>
      <c r="V34" s="325">
        <v>382.2</v>
      </c>
      <c r="W34" s="325">
        <v>385.4</v>
      </c>
      <c r="X34" s="324">
        <v>408</v>
      </c>
      <c r="Y34" s="324">
        <v>407.3</v>
      </c>
      <c r="Z34" s="324">
        <v>415</v>
      </c>
      <c r="AA34" s="324">
        <f>(AA37*AA39)/1000000</f>
        <v>415</v>
      </c>
      <c r="AB34" s="324">
        <f t="shared" ref="AB34:AE34" si="29">(AB37*AB39)/1000000</f>
        <v>557.76</v>
      </c>
      <c r="AC34" s="324">
        <f t="shared" si="29"/>
        <v>557.76</v>
      </c>
      <c r="AD34" s="324">
        <f t="shared" si="29"/>
        <v>557.76</v>
      </c>
      <c r="AE34" s="324">
        <f t="shared" si="29"/>
        <v>557.76</v>
      </c>
      <c r="AF34" s="319"/>
      <c r="AH34" s="321" t="s">
        <v>655</v>
      </c>
    </row>
    <row r="35" spans="1:43" s="317" customFormat="1" ht="17" customHeight="1" outlineLevel="1" x14ac:dyDescent="0.15">
      <c r="A35" s="326" t="s">
        <v>387</v>
      </c>
      <c r="B35" s="327"/>
      <c r="C35" s="327"/>
      <c r="D35" s="327"/>
      <c r="E35" s="327"/>
      <c r="F35" s="327"/>
      <c r="G35" s="328"/>
      <c r="H35" s="329"/>
      <c r="I35" s="330">
        <v>-1.7041244751790509E-2</v>
      </c>
      <c r="J35" s="330">
        <v>-1.5075376884422682E-3</v>
      </c>
      <c r="K35" s="359">
        <v>-1.7614494212380189E-3</v>
      </c>
      <c r="L35" s="330">
        <v>2.1678850516763354E-2</v>
      </c>
      <c r="M35" s="330">
        <v>-8.6355785837651123E-3</v>
      </c>
      <c r="N35" s="330">
        <v>-2.7625684420109563E-2</v>
      </c>
      <c r="O35" s="330">
        <v>-4.3511645764013019E-3</v>
      </c>
      <c r="P35" s="330">
        <v>3.2133676092544985E-2</v>
      </c>
      <c r="Q35" s="330">
        <v>-2.0423412204234093E-2</v>
      </c>
      <c r="R35" s="330">
        <v>-2.5425883549459125E-4</v>
      </c>
      <c r="S35" s="330">
        <v>-5.0864699898270603E-3</v>
      </c>
      <c r="T35" s="330">
        <v>2.9652351738241368E-2</v>
      </c>
      <c r="U35" s="330">
        <v>-4.2204568023832883E-3</v>
      </c>
      <c r="V35" s="330">
        <v>-4.7120418848167624E-2</v>
      </c>
      <c r="W35" s="330">
        <v>8.3725798011512007E-3</v>
      </c>
      <c r="X35" s="361">
        <v>8.3725798011512007E-3</v>
      </c>
      <c r="Y35" s="361">
        <v>8.3725798011512007E-3</v>
      </c>
      <c r="Z35" s="361">
        <v>8.3725798011512007E-3</v>
      </c>
      <c r="AA35" s="361">
        <f>(AA34-Z34)/Z34</f>
        <v>0</v>
      </c>
      <c r="AB35" s="361">
        <f t="shared" ref="AB35:AE35" si="30">(AB34-AA34)/AA34</f>
        <v>0.34399999999999997</v>
      </c>
      <c r="AC35" s="361">
        <f t="shared" si="30"/>
        <v>0</v>
      </c>
      <c r="AD35" s="361">
        <f t="shared" si="30"/>
        <v>0</v>
      </c>
      <c r="AE35" s="361">
        <f t="shared" si="30"/>
        <v>0</v>
      </c>
      <c r="AF35" s="331"/>
      <c r="AH35" s="316"/>
      <c r="AI35" s="316"/>
      <c r="AJ35" s="316"/>
      <c r="AK35" s="316"/>
      <c r="AL35" s="316"/>
      <c r="AM35" s="316"/>
      <c r="AN35" s="316"/>
      <c r="AO35" s="316"/>
      <c r="AP35" s="316"/>
      <c r="AQ35" s="316"/>
    </row>
    <row r="36" spans="1:43" s="317" customFormat="1" ht="17" customHeight="1" outlineLevel="1" x14ac:dyDescent="0.15">
      <c r="A36" s="353" t="s">
        <v>533</v>
      </c>
      <c r="B36" s="327"/>
      <c r="C36" s="327"/>
      <c r="D36" s="327"/>
      <c r="E36" s="327"/>
      <c r="F36" s="327"/>
      <c r="G36" s="328"/>
      <c r="H36" s="340">
        <f t="shared" ref="H36:AE36" si="31">H34/H5</f>
        <v>0.26959185032292426</v>
      </c>
      <c r="I36" s="341">
        <f t="shared" si="31"/>
        <v>0.26453971419076105</v>
      </c>
      <c r="J36" s="341">
        <f t="shared" si="31"/>
        <v>0.26459817564418397</v>
      </c>
      <c r="K36" s="341">
        <f t="shared" si="31"/>
        <v>0.26301133726712195</v>
      </c>
      <c r="L36" s="341">
        <f t="shared" si="31"/>
        <v>0.26530077894874649</v>
      </c>
      <c r="M36" s="341">
        <f t="shared" si="31"/>
        <v>0.26387338280685624</v>
      </c>
      <c r="N36" s="341">
        <f t="shared" si="31"/>
        <v>0.26338142105972762</v>
      </c>
      <c r="O36" s="341">
        <f t="shared" si="31"/>
        <v>0.26193522321729179</v>
      </c>
      <c r="P36" s="341">
        <f t="shared" si="31"/>
        <v>0.26314064752916505</v>
      </c>
      <c r="Q36" s="341">
        <f t="shared" si="31"/>
        <v>0.25839300965770978</v>
      </c>
      <c r="R36" s="341">
        <f t="shared" si="31"/>
        <v>0.26199360341151384</v>
      </c>
      <c r="S36" s="341">
        <f t="shared" si="31"/>
        <v>0.25580330870332835</v>
      </c>
      <c r="T36" s="341">
        <f t="shared" si="31"/>
        <v>0.26072884976373872</v>
      </c>
      <c r="U36" s="341">
        <f t="shared" si="31"/>
        <v>0.25510398778859</v>
      </c>
      <c r="V36" s="341">
        <f t="shared" si="31"/>
        <v>0.2450628366247756</v>
      </c>
      <c r="W36" s="341">
        <f t="shared" si="31"/>
        <v>0.24369269680682895</v>
      </c>
      <c r="X36" s="341">
        <f t="shared" si="31"/>
        <v>0.25347912524850896</v>
      </c>
      <c r="Y36" s="341">
        <f t="shared" si="31"/>
        <v>0.24814183014499816</v>
      </c>
      <c r="Z36" s="341">
        <f t="shared" si="31"/>
        <v>0.25034686613983231</v>
      </c>
      <c r="AA36" s="341">
        <f t="shared" si="31"/>
        <v>0.24687685901249257</v>
      </c>
      <c r="AB36" s="341">
        <f t="shared" si="31"/>
        <v>0.27636266773216128</v>
      </c>
      <c r="AC36" s="341">
        <f t="shared" si="31"/>
        <v>0.27636266773216128</v>
      </c>
      <c r="AD36" s="341">
        <f t="shared" si="31"/>
        <v>0.27636266773216128</v>
      </c>
      <c r="AE36" s="341">
        <f t="shared" si="31"/>
        <v>0.27636266773216128</v>
      </c>
      <c r="AF36" s="331"/>
      <c r="AH36" s="316"/>
      <c r="AI36" s="316"/>
      <c r="AJ36" s="316"/>
      <c r="AK36" s="316"/>
      <c r="AL36" s="316"/>
      <c r="AM36" s="316"/>
    </row>
    <row r="37" spans="1:43" s="317" customFormat="1" ht="17" customHeight="1" outlineLevel="1" x14ac:dyDescent="0.15">
      <c r="A37" s="326" t="s">
        <v>532</v>
      </c>
      <c r="B37" s="327"/>
      <c r="C37" s="327"/>
      <c r="D37" s="327"/>
      <c r="E37" s="327"/>
      <c r="F37" s="327"/>
      <c r="G37" s="328"/>
      <c r="H37" s="329"/>
      <c r="I37" s="330"/>
      <c r="J37" s="330"/>
      <c r="K37" s="359"/>
      <c r="L37" s="330"/>
      <c r="M37" s="330"/>
      <c r="N37" s="330"/>
      <c r="O37" s="330"/>
      <c r="P37" s="330"/>
      <c r="Q37" s="330"/>
      <c r="R37" s="330"/>
      <c r="S37" s="330"/>
      <c r="T37" s="330"/>
      <c r="U37" s="330"/>
      <c r="V37" s="330"/>
      <c r="W37" s="330"/>
      <c r="X37" s="377">
        <f>X36*X7</f>
        <v>9632206.7594433408</v>
      </c>
      <c r="Y37" s="377">
        <f>Y36*Y7</f>
        <v>9429389.5455099307</v>
      </c>
      <c r="Z37" s="377">
        <f>Z36*Z7</f>
        <v>9513180.9133136272</v>
      </c>
      <c r="AA37" s="357">
        <f>Z37*(1+AA38)</f>
        <v>9513180.9133136272</v>
      </c>
      <c r="AB37" s="357">
        <f t="shared" ref="AB37:AE37" si="32">AA37*(1+AB38)</f>
        <v>11415817.095976353</v>
      </c>
      <c r="AC37" s="357">
        <f t="shared" si="32"/>
        <v>11415817.095976353</v>
      </c>
      <c r="AD37" s="357">
        <f t="shared" si="32"/>
        <v>11415817.095976353</v>
      </c>
      <c r="AE37" s="357">
        <f t="shared" si="32"/>
        <v>11415817.095976353</v>
      </c>
      <c r="AF37" s="331"/>
      <c r="AH37" s="316"/>
      <c r="AI37" s="316"/>
      <c r="AJ37" s="316"/>
      <c r="AK37" s="316"/>
      <c r="AL37" s="316"/>
      <c r="AM37" s="316"/>
    </row>
    <row r="38" spans="1:43" s="317" customFormat="1" ht="17" customHeight="1" outlineLevel="1" x14ac:dyDescent="0.15">
      <c r="A38" s="358" t="s">
        <v>387</v>
      </c>
      <c r="B38" s="327"/>
      <c r="C38" s="327"/>
      <c r="D38" s="327"/>
      <c r="E38" s="327"/>
      <c r="F38" s="327"/>
      <c r="G38" s="328"/>
      <c r="H38" s="329"/>
      <c r="I38" s="330"/>
      <c r="J38" s="330"/>
      <c r="K38" s="359"/>
      <c r="L38" s="330"/>
      <c r="M38" s="330"/>
      <c r="N38" s="330"/>
      <c r="O38" s="330"/>
      <c r="P38" s="330"/>
      <c r="Q38" s="330"/>
      <c r="R38" s="330"/>
      <c r="S38" s="330"/>
      <c r="T38" s="330"/>
      <c r="U38" s="330"/>
      <c r="V38" s="330"/>
      <c r="W38" s="330"/>
      <c r="X38" s="360"/>
      <c r="Y38" s="361">
        <f>(Y37-X37)/X37</f>
        <v>-2.1056152447575908E-2</v>
      </c>
      <c r="Z38" s="361">
        <f t="shared" ref="Z38" si="33">(Z37-Y37)/Y37</f>
        <v>8.8861921972028576E-3</v>
      </c>
      <c r="AA38" s="365">
        <v>0</v>
      </c>
      <c r="AB38" s="365">
        <v>0.2</v>
      </c>
      <c r="AC38" s="365">
        <v>0</v>
      </c>
      <c r="AD38" s="365">
        <v>0</v>
      </c>
      <c r="AE38" s="365">
        <v>0</v>
      </c>
      <c r="AF38" s="331"/>
      <c r="AH38" s="316"/>
      <c r="AI38" s="316"/>
      <c r="AJ38" s="316"/>
      <c r="AK38" s="316"/>
      <c r="AL38" s="316"/>
      <c r="AM38" s="316"/>
    </row>
    <row r="39" spans="1:43" s="317" customFormat="1" ht="17" customHeight="1" outlineLevel="1" x14ac:dyDescent="0.15">
      <c r="A39" s="326" t="s">
        <v>534</v>
      </c>
      <c r="B39" s="327"/>
      <c r="C39" s="327"/>
      <c r="D39" s="327"/>
      <c r="E39" s="327"/>
      <c r="F39" s="327"/>
      <c r="G39" s="328"/>
      <c r="H39" s="329"/>
      <c r="I39" s="330"/>
      <c r="J39" s="330"/>
      <c r="K39" s="359"/>
      <c r="L39" s="330"/>
      <c r="M39" s="330"/>
      <c r="N39" s="330"/>
      <c r="O39" s="330"/>
      <c r="P39" s="330"/>
      <c r="Q39" s="330"/>
      <c r="R39" s="330"/>
      <c r="S39" s="330"/>
      <c r="T39" s="330"/>
      <c r="U39" s="330"/>
      <c r="V39" s="330"/>
      <c r="W39" s="330"/>
      <c r="X39" s="364">
        <f>(X34*1000000)/X37</f>
        <v>42.357894736842098</v>
      </c>
      <c r="Y39" s="364">
        <f t="shared" ref="Y39:Z39" si="34">(Y34*1000000)/Y37</f>
        <v>43.194736842105264</v>
      </c>
      <c r="Z39" s="364">
        <f t="shared" si="34"/>
        <v>43.623684210526314</v>
      </c>
      <c r="AA39" s="364">
        <f>Z39*(1+AA40)</f>
        <v>43.623684210526314</v>
      </c>
      <c r="AB39" s="364">
        <f t="shared" ref="AB39:AE39" si="35">AA39*(1+AB40)</f>
        <v>48.858526315789476</v>
      </c>
      <c r="AC39" s="364">
        <f t="shared" si="35"/>
        <v>48.858526315789476</v>
      </c>
      <c r="AD39" s="364">
        <f t="shared" si="35"/>
        <v>48.858526315789476</v>
      </c>
      <c r="AE39" s="364">
        <f t="shared" si="35"/>
        <v>48.858526315789476</v>
      </c>
      <c r="AF39" s="331"/>
      <c r="AH39" s="316"/>
      <c r="AI39" s="316"/>
      <c r="AJ39" s="316"/>
      <c r="AK39" s="316"/>
      <c r="AL39" s="316"/>
      <c r="AM39" s="316"/>
    </row>
    <row r="40" spans="1:43" s="317" customFormat="1" ht="17" customHeight="1" outlineLevel="1" x14ac:dyDescent="0.15">
      <c r="A40" s="358" t="s">
        <v>387</v>
      </c>
      <c r="B40" s="327"/>
      <c r="C40" s="327"/>
      <c r="D40" s="327"/>
      <c r="E40" s="327"/>
      <c r="F40" s="327"/>
      <c r="G40" s="328"/>
      <c r="H40" s="329"/>
      <c r="I40" s="330"/>
      <c r="J40" s="330"/>
      <c r="K40" s="359"/>
      <c r="L40" s="330"/>
      <c r="M40" s="330"/>
      <c r="N40" s="330"/>
      <c r="O40" s="330"/>
      <c r="P40" s="330"/>
      <c r="Q40" s="330"/>
      <c r="R40" s="330"/>
      <c r="S40" s="330"/>
      <c r="T40" s="330"/>
      <c r="U40" s="330"/>
      <c r="V40" s="330"/>
      <c r="W40" s="330"/>
      <c r="X40" s="360"/>
      <c r="Y40" s="361">
        <f>(Y39-X39)/X39</f>
        <v>1.975646123260457E-2</v>
      </c>
      <c r="Z40" s="361">
        <f t="shared" ref="Z40" si="36">(Z39-Y39)/Y39</f>
        <v>9.9305470939441143E-3</v>
      </c>
      <c r="AA40" s="362">
        <v>0</v>
      </c>
      <c r="AB40" s="365">
        <v>0.12</v>
      </c>
      <c r="AC40" s="365">
        <v>0</v>
      </c>
      <c r="AD40" s="365">
        <v>0</v>
      </c>
      <c r="AE40" s="365">
        <v>0</v>
      </c>
      <c r="AF40" s="331"/>
      <c r="AH40" s="316"/>
      <c r="AI40" s="316"/>
      <c r="AJ40" s="316"/>
      <c r="AK40" s="316"/>
      <c r="AL40" s="316"/>
      <c r="AM40" s="316"/>
    </row>
    <row r="41" spans="1:43" s="316" customFormat="1" x14ac:dyDescent="0.15">
      <c r="A41" s="353" t="s">
        <v>382</v>
      </c>
      <c r="H41" s="321">
        <v>143.33459999999999</v>
      </c>
      <c r="I41" s="325">
        <v>169.15</v>
      </c>
      <c r="J41" s="325">
        <v>175.6508</v>
      </c>
      <c r="K41" s="325">
        <v>180.89519999999999</v>
      </c>
      <c r="L41" s="325">
        <v>132.53310000000002</v>
      </c>
      <c r="M41" s="325">
        <v>173.17580000000001</v>
      </c>
      <c r="N41" s="325">
        <v>178.1592</v>
      </c>
      <c r="O41" s="325">
        <v>0</v>
      </c>
      <c r="P41" s="325">
        <v>157.78949999999998</v>
      </c>
      <c r="Q41" s="325">
        <v>173.83860000000001</v>
      </c>
      <c r="R41" s="325">
        <v>183.2312</v>
      </c>
      <c r="S41" s="325">
        <v>167.82479999999998</v>
      </c>
      <c r="T41" s="325">
        <v>162.7312</v>
      </c>
      <c r="U41" s="325">
        <v>163.64879999999999</v>
      </c>
      <c r="V41" s="325">
        <v>162.81719999999999</v>
      </c>
      <c r="W41" s="325">
        <v>173.0446</v>
      </c>
      <c r="X41" s="324">
        <v>189</v>
      </c>
      <c r="Y41" s="324">
        <v>188</v>
      </c>
      <c r="Z41" s="324">
        <v>182.9</v>
      </c>
      <c r="AA41" s="324">
        <f>(AA42*AA37)/1000000</f>
        <v>182.9</v>
      </c>
      <c r="AB41" s="324">
        <f t="shared" ref="AB41:AE41" si="37">(AB42*AB37)/1000000</f>
        <v>226.06440000000003</v>
      </c>
      <c r="AC41" s="324">
        <f t="shared" si="37"/>
        <v>226.06440000000003</v>
      </c>
      <c r="AD41" s="324">
        <f t="shared" si="37"/>
        <v>226.06440000000003</v>
      </c>
      <c r="AE41" s="324">
        <f t="shared" si="37"/>
        <v>226.06440000000003</v>
      </c>
      <c r="AF41" s="319"/>
      <c r="AH41" s="317"/>
      <c r="AI41" s="317"/>
      <c r="AN41" s="317"/>
      <c r="AO41" s="317"/>
      <c r="AP41" s="317"/>
      <c r="AQ41" s="317"/>
    </row>
    <row r="42" spans="1:43" s="316" customFormat="1" outlineLevel="1" x14ac:dyDescent="0.15">
      <c r="A42" s="366" t="s">
        <v>541</v>
      </c>
      <c r="H42" s="321"/>
      <c r="I42" s="325"/>
      <c r="J42" s="325"/>
      <c r="K42" s="325"/>
      <c r="L42" s="325"/>
      <c r="M42" s="325"/>
      <c r="N42" s="325"/>
      <c r="O42" s="325"/>
      <c r="P42" s="325"/>
      <c r="Q42" s="325"/>
      <c r="R42" s="325"/>
      <c r="S42" s="325"/>
      <c r="T42" s="325"/>
      <c r="U42" s="325"/>
      <c r="V42" s="325"/>
      <c r="W42" s="325"/>
      <c r="X42" s="378">
        <f>(X41*1000000)/X37</f>
        <v>19.621671826625384</v>
      </c>
      <c r="Y42" s="378">
        <f t="shared" ref="Y42:Z42" si="38">(Y41*1000000)/Y37</f>
        <v>19.937663948725238</v>
      </c>
      <c r="Z42" s="378">
        <f t="shared" si="38"/>
        <v>19.22595624603678</v>
      </c>
      <c r="AA42" s="378">
        <f>Z42*(1+AA43)</f>
        <v>19.22595624603678</v>
      </c>
      <c r="AB42" s="378">
        <f t="shared" ref="AB42:AE42" si="39">AA42*(1+AB43)</f>
        <v>19.802734933417884</v>
      </c>
      <c r="AC42" s="378">
        <f t="shared" si="39"/>
        <v>19.802734933417884</v>
      </c>
      <c r="AD42" s="378">
        <f t="shared" si="39"/>
        <v>19.802734933417884</v>
      </c>
      <c r="AE42" s="378">
        <f t="shared" si="39"/>
        <v>19.802734933417884</v>
      </c>
      <c r="AF42" s="319"/>
      <c r="AJ42" s="317"/>
      <c r="AK42" s="317"/>
      <c r="AL42" s="317"/>
      <c r="AM42" s="317"/>
    </row>
    <row r="43" spans="1:43" s="317" customFormat="1" ht="17" customHeight="1" outlineLevel="1" x14ac:dyDescent="0.15">
      <c r="A43" s="358" t="s">
        <v>387</v>
      </c>
      <c r="B43" s="327"/>
      <c r="C43" s="327"/>
      <c r="D43" s="327"/>
      <c r="E43" s="327"/>
      <c r="F43" s="327"/>
      <c r="G43" s="328"/>
      <c r="H43" s="329"/>
      <c r="I43" s="330"/>
      <c r="J43" s="330"/>
      <c r="K43" s="359"/>
      <c r="L43" s="330"/>
      <c r="M43" s="330"/>
      <c r="N43" s="330"/>
      <c r="O43" s="330"/>
      <c r="P43" s="330"/>
      <c r="Q43" s="330"/>
      <c r="R43" s="330"/>
      <c r="S43" s="330"/>
      <c r="T43" s="330"/>
      <c r="U43" s="330"/>
      <c r="V43" s="330"/>
      <c r="W43" s="330"/>
      <c r="X43" s="360"/>
      <c r="Y43" s="361">
        <f>(Y42-X42)/X42</f>
        <v>1.6104240499582295E-2</v>
      </c>
      <c r="Z43" s="361">
        <f>(Z42-Y42)/Y42</f>
        <v>-3.5696644527603349E-2</v>
      </c>
      <c r="AA43" s="362">
        <v>0</v>
      </c>
      <c r="AB43" s="365">
        <v>0.03</v>
      </c>
      <c r="AC43" s="365">
        <v>0</v>
      </c>
      <c r="AD43" s="365">
        <v>0</v>
      </c>
      <c r="AE43" s="365">
        <v>0</v>
      </c>
      <c r="AF43" s="331"/>
      <c r="AH43" s="316"/>
      <c r="AI43" s="316"/>
      <c r="AJ43" s="316"/>
      <c r="AK43" s="316"/>
      <c r="AL43" s="316"/>
      <c r="AM43" s="316"/>
      <c r="AN43" s="316"/>
      <c r="AO43" s="316"/>
      <c r="AP43" s="316"/>
      <c r="AQ43" s="316"/>
    </row>
    <row r="44" spans="1:43" s="316" customFormat="1" x14ac:dyDescent="0.15">
      <c r="A44" s="353" t="s">
        <v>383</v>
      </c>
      <c r="H44" s="321">
        <v>91.507400000000004</v>
      </c>
      <c r="I44" s="325">
        <v>79.201999999999998</v>
      </c>
      <c r="J44" s="325">
        <v>77.492999999999995</v>
      </c>
      <c r="K44" s="325">
        <v>78.149899999999988</v>
      </c>
      <c r="L44" s="325">
        <v>81.870599999999996</v>
      </c>
      <c r="M44" s="325">
        <v>80.761800000000008</v>
      </c>
      <c r="N44" s="325">
        <v>75.795799999999986</v>
      </c>
      <c r="O44" s="325">
        <v>0</v>
      </c>
      <c r="P44" s="325">
        <v>74.277500000000003</v>
      </c>
      <c r="Q44" s="325">
        <v>73.5471</v>
      </c>
      <c r="R44" s="325">
        <v>74.707999999999998</v>
      </c>
      <c r="S44" s="325">
        <v>80.978399999999993</v>
      </c>
      <c r="T44" s="325">
        <v>77.740400000000008</v>
      </c>
      <c r="U44" s="325">
        <v>79.818899999999999</v>
      </c>
      <c r="V44" s="325">
        <v>78.350999999999999</v>
      </c>
      <c r="W44" s="325">
        <v>96.735399999999998</v>
      </c>
      <c r="X44" s="324">
        <f>X34*X45</f>
        <v>87.72</v>
      </c>
      <c r="Y44" s="324">
        <f>Y34*Y45</f>
        <v>87.569500000000005</v>
      </c>
      <c r="Z44" s="324">
        <f>Z34*Z45</f>
        <v>92.960000000000008</v>
      </c>
      <c r="AA44" s="324">
        <f>AA34*AA45</f>
        <v>90.47</v>
      </c>
      <c r="AB44" s="324">
        <f t="shared" ref="AB44:AE44" si="40">AB34*AB45</f>
        <v>114.34079999999999</v>
      </c>
      <c r="AC44" s="324">
        <f t="shared" si="40"/>
        <v>114.34079999999999</v>
      </c>
      <c r="AD44" s="324">
        <f t="shared" si="40"/>
        <v>114.34079999999999</v>
      </c>
      <c r="AE44" s="324">
        <f t="shared" si="40"/>
        <v>114.34079999999999</v>
      </c>
      <c r="AF44" s="319"/>
      <c r="AN44" s="317"/>
      <c r="AO44" s="317"/>
      <c r="AP44" s="317"/>
      <c r="AQ44" s="317"/>
    </row>
    <row r="45" spans="1:43" s="316" customFormat="1" x14ac:dyDescent="0.15">
      <c r="A45" s="353" t="s">
        <v>384</v>
      </c>
      <c r="H45" s="379">
        <v>0.22600000000000001</v>
      </c>
      <c r="I45" s="380">
        <v>0.19899999999999998</v>
      </c>
      <c r="J45" s="380">
        <v>0.19500000000000001</v>
      </c>
      <c r="K45" s="380">
        <v>0.19699999999999998</v>
      </c>
      <c r="L45" s="380">
        <v>0.20199999999999999</v>
      </c>
      <c r="M45" s="380">
        <v>0.20100000000000001</v>
      </c>
      <c r="N45" s="380">
        <v>0.19399999999999998</v>
      </c>
      <c r="O45" s="380">
        <v>0</v>
      </c>
      <c r="P45" s="380">
        <v>0.185</v>
      </c>
      <c r="Q45" s="380">
        <v>0.187</v>
      </c>
      <c r="R45" s="380">
        <v>0.19</v>
      </c>
      <c r="S45" s="380">
        <v>0.20699999999999999</v>
      </c>
      <c r="T45" s="380">
        <v>0.193</v>
      </c>
      <c r="U45" s="380">
        <v>0.19899999999999998</v>
      </c>
      <c r="V45" s="380">
        <v>0.20499999999999999</v>
      </c>
      <c r="W45" s="380">
        <v>0.251</v>
      </c>
      <c r="X45" s="300">
        <v>0.215</v>
      </c>
      <c r="Y45" s="300">
        <v>0.215</v>
      </c>
      <c r="Z45" s="300">
        <v>0.224</v>
      </c>
      <c r="AA45" s="368">
        <f>AVERAGE(X45:Z45)</f>
        <v>0.218</v>
      </c>
      <c r="AB45" s="313">
        <v>0.20499999999999999</v>
      </c>
      <c r="AC45" s="313">
        <v>0.20499999999999999</v>
      </c>
      <c r="AD45" s="313">
        <v>0.20499999999999999</v>
      </c>
      <c r="AE45" s="313">
        <v>0.20499999999999999</v>
      </c>
      <c r="AF45" s="319"/>
    </row>
    <row r="46" spans="1:43" s="316" customFormat="1" x14ac:dyDescent="0.15">
      <c r="A46" s="353" t="s">
        <v>273</v>
      </c>
      <c r="H46" s="379">
        <v>0.35399999999999998</v>
      </c>
      <c r="I46" s="380">
        <v>0.42499999999999999</v>
      </c>
      <c r="J46" s="380">
        <v>0.442</v>
      </c>
      <c r="K46" s="380">
        <v>0.45600000000000002</v>
      </c>
      <c r="L46" s="380">
        <v>0.32700000000000001</v>
      </c>
      <c r="M46" s="380">
        <v>0.43099999999999999</v>
      </c>
      <c r="N46" s="380">
        <v>0.45600000000000002</v>
      </c>
      <c r="O46" s="380">
        <v>0</v>
      </c>
      <c r="P46" s="380">
        <v>0.39299999999999996</v>
      </c>
      <c r="Q46" s="380">
        <v>0.442</v>
      </c>
      <c r="R46" s="380">
        <v>0.46600000000000003</v>
      </c>
      <c r="S46" s="380">
        <v>0.42899999999999999</v>
      </c>
      <c r="T46" s="380">
        <v>0.40399999999999997</v>
      </c>
      <c r="U46" s="380">
        <v>0.40799999999999997</v>
      </c>
      <c r="V46" s="380">
        <v>0.42599999999999999</v>
      </c>
      <c r="W46" s="380">
        <v>0.44900000000000001</v>
      </c>
      <c r="X46" s="370">
        <f>X41/X34</f>
        <v>0.46323529411764708</v>
      </c>
      <c r="Y46" s="370">
        <f t="shared" ref="Y46:AE46" si="41">Y41/Y34</f>
        <v>0.46157623373434814</v>
      </c>
      <c r="Z46" s="370">
        <f t="shared" si="41"/>
        <v>0.4407228915662651</v>
      </c>
      <c r="AA46" s="370">
        <f t="shared" si="41"/>
        <v>0.4407228915662651</v>
      </c>
      <c r="AB46" s="370">
        <f t="shared" si="41"/>
        <v>0.40530765920826167</v>
      </c>
      <c r="AC46" s="370">
        <f t="shared" si="41"/>
        <v>0.40530765920826167</v>
      </c>
      <c r="AD46" s="370">
        <f t="shared" si="41"/>
        <v>0.40530765920826167</v>
      </c>
      <c r="AE46" s="370">
        <f t="shared" si="41"/>
        <v>0.40530765920826167</v>
      </c>
      <c r="AF46" s="319"/>
    </row>
    <row r="47" spans="1:43" s="316" customFormat="1" x14ac:dyDescent="0.15">
      <c r="A47" s="353" t="s">
        <v>82</v>
      </c>
      <c r="H47" s="321">
        <v>170.05799999999994</v>
      </c>
      <c r="I47" s="325">
        <v>149.648</v>
      </c>
      <c r="J47" s="325">
        <v>144.25619999999998</v>
      </c>
      <c r="K47" s="325">
        <v>137.6549</v>
      </c>
      <c r="L47" s="325">
        <v>190.89629999999997</v>
      </c>
      <c r="M47" s="325">
        <v>147.86239999999998</v>
      </c>
      <c r="N47" s="325">
        <v>136.745</v>
      </c>
      <c r="O47" s="325">
        <v>389</v>
      </c>
      <c r="P47" s="325">
        <v>169.43300000000002</v>
      </c>
      <c r="Q47" s="325">
        <v>145.9143</v>
      </c>
      <c r="R47" s="325">
        <v>135.26079999999999</v>
      </c>
      <c r="S47" s="325">
        <v>142.39680000000001</v>
      </c>
      <c r="T47" s="325">
        <v>162.32839999999999</v>
      </c>
      <c r="U47" s="325">
        <v>157.63230000000004</v>
      </c>
      <c r="V47" s="325">
        <v>141.0318</v>
      </c>
      <c r="W47" s="325">
        <v>115.61999999999998</v>
      </c>
      <c r="X47" s="324">
        <f>X34-X41-X44</f>
        <v>131.28</v>
      </c>
      <c r="Y47" s="324">
        <f>Y34-Y41-Y44</f>
        <v>131.73050000000001</v>
      </c>
      <c r="Z47" s="324">
        <f>Z34-Z41-Z44</f>
        <v>139.13999999999999</v>
      </c>
      <c r="AA47" s="324">
        <f>AA34-AA41-AA44</f>
        <v>141.63</v>
      </c>
      <c r="AB47" s="324">
        <f t="shared" ref="AB47:AE47" si="42">AB34-AB41-AB44</f>
        <v>217.35479999999995</v>
      </c>
      <c r="AC47" s="324">
        <f t="shared" si="42"/>
        <v>217.35479999999995</v>
      </c>
      <c r="AD47" s="324">
        <f t="shared" si="42"/>
        <v>217.35479999999995</v>
      </c>
      <c r="AE47" s="324">
        <f t="shared" si="42"/>
        <v>217.35479999999995</v>
      </c>
      <c r="AF47" s="325"/>
    </row>
    <row r="48" spans="1:43" s="316" customFormat="1" x14ac:dyDescent="0.15">
      <c r="A48" s="353" t="s">
        <v>385</v>
      </c>
      <c r="G48" s="332"/>
      <c r="H48" s="332">
        <v>0.68378769601930012</v>
      </c>
      <c r="I48" s="354">
        <v>0.59313515655965121</v>
      </c>
      <c r="J48" s="354">
        <v>0.56726779394416038</v>
      </c>
      <c r="K48" s="354">
        <v>0.52660635042081105</v>
      </c>
      <c r="L48" s="354">
        <v>0.72556556442417308</v>
      </c>
      <c r="M48" s="354">
        <v>0.56479144385026725</v>
      </c>
      <c r="N48" s="354">
        <v>0.58967227253126353</v>
      </c>
      <c r="O48" s="354">
        <v>2.0669500531349629</v>
      </c>
      <c r="P48" s="354">
        <v>1.1807177700348435</v>
      </c>
      <c r="Q48" s="354">
        <v>1.261143474503025</v>
      </c>
      <c r="R48" s="354">
        <v>0.75438259899609583</v>
      </c>
      <c r="S48" s="354">
        <v>1.6090033898305087</v>
      </c>
      <c r="T48" s="354">
        <v>1.9942063882063878</v>
      </c>
      <c r="U48" s="354">
        <v>0.91860314685314715</v>
      </c>
      <c r="V48" s="354">
        <v>0.47742654028436021</v>
      </c>
      <c r="W48" s="354">
        <v>0.42043636363636355</v>
      </c>
      <c r="X48" s="300">
        <f>X47/X13</f>
        <v>0.54450661346583784</v>
      </c>
      <c r="Y48" s="300">
        <f>Y47/Y13</f>
        <v>0.48771010736764137</v>
      </c>
      <c r="Z48" s="300">
        <f>Z47/Z13</f>
        <v>0.525197317017012</v>
      </c>
      <c r="AA48" s="300">
        <f t="shared" ref="AA48:AE48" si="43">AA47/AA13</f>
        <v>0.48228423543833965</v>
      </c>
      <c r="AB48" s="300">
        <f t="shared" si="43"/>
        <v>0.45035448610999024</v>
      </c>
      <c r="AC48" s="300">
        <f t="shared" si="43"/>
        <v>0.45035448610999024</v>
      </c>
      <c r="AD48" s="300">
        <f t="shared" si="43"/>
        <v>0.45035448610999024</v>
      </c>
      <c r="AE48" s="300">
        <f t="shared" si="43"/>
        <v>0.45035448610999024</v>
      </c>
      <c r="AF48" s="319"/>
    </row>
    <row r="49" spans="1:43" s="316" customFormat="1" x14ac:dyDescent="0.15">
      <c r="A49" s="353"/>
      <c r="H49" s="379"/>
      <c r="I49" s="380"/>
      <c r="J49" s="380"/>
      <c r="K49" s="380"/>
      <c r="L49" s="380"/>
      <c r="M49" s="380"/>
      <c r="N49" s="380"/>
      <c r="O49" s="380"/>
      <c r="P49" s="380"/>
      <c r="Q49" s="380"/>
      <c r="R49" s="380"/>
      <c r="S49" s="380"/>
      <c r="T49" s="380"/>
      <c r="U49" s="380"/>
      <c r="V49" s="380"/>
      <c r="W49" s="380"/>
      <c r="X49" s="370"/>
      <c r="Y49" s="370"/>
      <c r="Z49" s="370"/>
      <c r="AA49" s="376"/>
      <c r="AB49" s="370"/>
      <c r="AC49" s="370"/>
      <c r="AD49" s="370"/>
      <c r="AE49" s="376"/>
      <c r="AF49" s="319"/>
    </row>
    <row r="50" spans="1:43" s="316" customFormat="1" x14ac:dyDescent="0.15">
      <c r="A50" s="381" t="s">
        <v>388</v>
      </c>
      <c r="I50" s="319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75"/>
      <c r="Y50" s="375"/>
      <c r="Z50" s="375"/>
      <c r="AA50" s="376"/>
      <c r="AB50" s="375"/>
      <c r="AC50" s="375"/>
      <c r="AD50" s="375"/>
      <c r="AE50" s="376"/>
      <c r="AF50" s="319"/>
    </row>
    <row r="51" spans="1:43" s="316" customFormat="1" x14ac:dyDescent="0.15">
      <c r="A51" s="353" t="s">
        <v>381</v>
      </c>
      <c r="H51" s="321">
        <v>455.40000000000009</v>
      </c>
      <c r="I51" s="325">
        <v>461.70000000000005</v>
      </c>
      <c r="J51" s="325">
        <v>456.50000000000011</v>
      </c>
      <c r="K51" s="325">
        <v>1111.5999999999999</v>
      </c>
      <c r="L51" s="325">
        <v>456.2</v>
      </c>
      <c r="M51" s="325">
        <v>456.50000000000006</v>
      </c>
      <c r="N51" s="325">
        <v>446.00000000000006</v>
      </c>
      <c r="O51" s="325">
        <v>1096.0999999999999</v>
      </c>
      <c r="P51" s="325">
        <v>451.4</v>
      </c>
      <c r="Q51" s="325">
        <v>456.59999999999985</v>
      </c>
      <c r="R51" s="325">
        <v>443.8</v>
      </c>
      <c r="S51" s="325">
        <v>455.2</v>
      </c>
      <c r="T51" s="325">
        <v>456.60000000000008</v>
      </c>
      <c r="U51" s="325">
        <v>464.69999999999993</v>
      </c>
      <c r="V51" s="325">
        <v>464.2999999999999</v>
      </c>
      <c r="W51" s="325">
        <v>463.20000000000005</v>
      </c>
      <c r="X51" s="324">
        <v>456</v>
      </c>
      <c r="Y51" s="324">
        <v>461</v>
      </c>
      <c r="Z51" s="324">
        <v>491</v>
      </c>
      <c r="AA51" s="324">
        <f>(AA56*AA54)/1000000</f>
        <v>491</v>
      </c>
      <c r="AB51" s="324">
        <f t="shared" ref="AB51:AE51" si="44">(AB56*AB54)/1000000</f>
        <v>566.41760000000011</v>
      </c>
      <c r="AC51" s="324">
        <f t="shared" si="44"/>
        <v>566.41760000000011</v>
      </c>
      <c r="AD51" s="324">
        <f t="shared" si="44"/>
        <v>566.41760000000011</v>
      </c>
      <c r="AE51" s="324">
        <f t="shared" si="44"/>
        <v>566.41760000000011</v>
      </c>
      <c r="AF51" s="319"/>
    </row>
    <row r="52" spans="1:43" s="317" customFormat="1" ht="17" customHeight="1" outlineLevel="1" x14ac:dyDescent="0.15">
      <c r="A52" s="326" t="s">
        <v>387</v>
      </c>
      <c r="B52" s="327"/>
      <c r="C52" s="327"/>
      <c r="D52" s="327"/>
      <c r="E52" s="327"/>
      <c r="F52" s="327"/>
      <c r="G52" s="328"/>
      <c r="H52" s="329"/>
      <c r="I52" s="330">
        <f>(I51-H51)/H51</f>
        <v>1.3833992094861558E-2</v>
      </c>
      <c r="J52" s="330">
        <f t="shared" ref="J52:Z52" si="45">(J51-I51)/I51</f>
        <v>-1.1262724713016961E-2</v>
      </c>
      <c r="K52" s="330">
        <f t="shared" si="45"/>
        <v>1.4350492880613355</v>
      </c>
      <c r="L52" s="330">
        <f t="shared" si="45"/>
        <v>-0.58960057574667135</v>
      </c>
      <c r="M52" s="330">
        <f t="shared" si="45"/>
        <v>6.5760631302075453E-4</v>
      </c>
      <c r="N52" s="330">
        <f t="shared" si="45"/>
        <v>-2.3001095290251915E-2</v>
      </c>
      <c r="O52" s="330">
        <f t="shared" si="45"/>
        <v>1.4576233183856497</v>
      </c>
      <c r="P52" s="330">
        <f t="shared" si="45"/>
        <v>-0.58817626129002831</v>
      </c>
      <c r="Q52" s="330">
        <f t="shared" si="45"/>
        <v>1.1519716437748947E-2</v>
      </c>
      <c r="R52" s="330">
        <f t="shared" si="45"/>
        <v>-2.80332895313181E-2</v>
      </c>
      <c r="S52" s="330">
        <f t="shared" si="45"/>
        <v>2.5687246507435729E-2</v>
      </c>
      <c r="T52" s="330">
        <f t="shared" si="45"/>
        <v>3.0755711775045935E-3</v>
      </c>
      <c r="U52" s="330">
        <f t="shared" si="45"/>
        <v>1.7739816031537126E-2</v>
      </c>
      <c r="V52" s="330">
        <f t="shared" si="45"/>
        <v>-8.6077038949867481E-4</v>
      </c>
      <c r="W52" s="330">
        <f t="shared" si="45"/>
        <v>-2.3691578720651573E-3</v>
      </c>
      <c r="X52" s="330">
        <f t="shared" si="45"/>
        <v>-1.5544041450777299E-2</v>
      </c>
      <c r="Y52" s="330">
        <f t="shared" si="45"/>
        <v>1.0964912280701754E-2</v>
      </c>
      <c r="Z52" s="330">
        <f t="shared" si="45"/>
        <v>6.5075921908893705E-2</v>
      </c>
      <c r="AA52" s="361">
        <f>(AA51-Z51)/Z51</f>
        <v>0</v>
      </c>
      <c r="AB52" s="361">
        <f t="shared" ref="AB52:AC52" si="46">(AB51-AA51)/AA51</f>
        <v>0.15360000000000021</v>
      </c>
      <c r="AC52" s="361">
        <f t="shared" si="46"/>
        <v>0</v>
      </c>
      <c r="AD52" s="361">
        <f>(AD51-AC51)/AC51</f>
        <v>0</v>
      </c>
      <c r="AE52" s="361">
        <f>(AE51-AD51)/AD51</f>
        <v>0</v>
      </c>
      <c r="AF52" s="331"/>
      <c r="AH52" s="316"/>
      <c r="AI52" s="316"/>
      <c r="AJ52" s="316"/>
      <c r="AK52" s="316"/>
      <c r="AL52" s="316"/>
      <c r="AM52" s="316"/>
      <c r="AN52" s="316"/>
      <c r="AO52" s="316"/>
      <c r="AP52" s="316"/>
      <c r="AQ52" s="316"/>
    </row>
    <row r="53" spans="1:43" s="317" customFormat="1" ht="17" customHeight="1" outlineLevel="1" x14ac:dyDescent="0.15">
      <c r="A53" s="353" t="s">
        <v>533</v>
      </c>
      <c r="B53" s="327"/>
      <c r="C53" s="327"/>
      <c r="D53" s="327"/>
      <c r="E53" s="327"/>
      <c r="F53" s="327"/>
      <c r="G53" s="328"/>
      <c r="H53" s="340">
        <f t="shared" ref="H53:AE53" si="47">H51/H5</f>
        <v>0.30321592649310875</v>
      </c>
      <c r="I53" s="341">
        <f t="shared" si="47"/>
        <v>0.30687936191425724</v>
      </c>
      <c r="J53" s="341">
        <f t="shared" si="47"/>
        <v>0.30394833211265737</v>
      </c>
      <c r="K53" s="341">
        <f t="shared" si="47"/>
        <v>0.736988662732878</v>
      </c>
      <c r="L53" s="341">
        <f t="shared" si="47"/>
        <v>0.29861883877724682</v>
      </c>
      <c r="M53" s="341">
        <f t="shared" si="47"/>
        <v>0.29979641426413611</v>
      </c>
      <c r="N53" s="341">
        <f t="shared" si="47"/>
        <v>0.30066064446541729</v>
      </c>
      <c r="O53" s="341">
        <f t="shared" si="47"/>
        <v>0.73806477678270821</v>
      </c>
      <c r="P53" s="341">
        <f t="shared" si="47"/>
        <v>0.29584480272643859</v>
      </c>
      <c r="Q53" s="341">
        <f t="shared" si="47"/>
        <v>0.29998029038827928</v>
      </c>
      <c r="R53" s="341">
        <f t="shared" si="47"/>
        <v>0.29570895522388063</v>
      </c>
      <c r="S53" s="341">
        <f t="shared" si="47"/>
        <v>0.29765252076113252</v>
      </c>
      <c r="T53" s="341">
        <f t="shared" si="47"/>
        <v>0.29555311023367209</v>
      </c>
      <c r="U53" s="341">
        <f t="shared" si="47"/>
        <v>0.29555428353367674</v>
      </c>
      <c r="V53" s="341">
        <f t="shared" si="47"/>
        <v>0.29770453962554494</v>
      </c>
      <c r="W53" s="341">
        <f t="shared" si="47"/>
        <v>0.29288650015807782</v>
      </c>
      <c r="X53" s="341">
        <f t="shared" si="47"/>
        <v>0.28330019880715707</v>
      </c>
      <c r="Y53" s="341">
        <f t="shared" si="47"/>
        <v>0.28085780431339097</v>
      </c>
      <c r="Z53" s="341">
        <f t="shared" si="47"/>
        <v>0.29619352114375336</v>
      </c>
      <c r="AA53" s="341">
        <f t="shared" si="47"/>
        <v>0.29208804283164785</v>
      </c>
      <c r="AB53" s="341">
        <f t="shared" si="47"/>
        <v>0.28065239347828508</v>
      </c>
      <c r="AC53" s="341">
        <f t="shared" si="47"/>
        <v>0.28065239347828508</v>
      </c>
      <c r="AD53" s="341">
        <f t="shared" si="47"/>
        <v>0.28065239347828508</v>
      </c>
      <c r="AE53" s="341">
        <f t="shared" si="47"/>
        <v>0.28065239347828508</v>
      </c>
      <c r="AF53" s="331"/>
      <c r="AH53" s="316"/>
      <c r="AI53" s="316"/>
      <c r="AJ53" s="316"/>
      <c r="AK53" s="316"/>
      <c r="AL53" s="316"/>
      <c r="AM53" s="316"/>
    </row>
    <row r="54" spans="1:43" s="317" customFormat="1" ht="17" customHeight="1" outlineLevel="1" x14ac:dyDescent="0.15">
      <c r="A54" s="326" t="s">
        <v>532</v>
      </c>
      <c r="B54" s="327"/>
      <c r="C54" s="327"/>
      <c r="D54" s="327"/>
      <c r="E54" s="327"/>
      <c r="F54" s="327"/>
      <c r="G54" s="328"/>
      <c r="H54" s="329"/>
      <c r="I54" s="330"/>
      <c r="J54" s="330"/>
      <c r="K54" s="330"/>
      <c r="L54" s="330"/>
      <c r="M54" s="330"/>
      <c r="N54" s="330"/>
      <c r="O54" s="330"/>
      <c r="P54" s="330"/>
      <c r="Q54" s="330"/>
      <c r="R54" s="330"/>
      <c r="S54" s="330"/>
      <c r="T54" s="330"/>
      <c r="U54" s="330"/>
      <c r="V54" s="330"/>
      <c r="W54" s="330"/>
      <c r="X54" s="334">
        <f>X53*X7</f>
        <v>10765407.554671969</v>
      </c>
      <c r="Y54" s="334">
        <f>Y53*Y7</f>
        <v>10672596.563908856</v>
      </c>
      <c r="Z54" s="334">
        <f>Z53*Z7</f>
        <v>11255353.803462628</v>
      </c>
      <c r="AA54" s="357">
        <f>Z54*(1+AA55)</f>
        <v>11255353.803462628</v>
      </c>
      <c r="AB54" s="357">
        <f t="shared" ref="AB54:AE54" si="48">AA54*(1+AB55)</f>
        <v>11593014.417566508</v>
      </c>
      <c r="AC54" s="357">
        <f t="shared" si="48"/>
        <v>11593014.417566508</v>
      </c>
      <c r="AD54" s="357">
        <f t="shared" si="48"/>
        <v>11593014.417566508</v>
      </c>
      <c r="AE54" s="357">
        <f t="shared" si="48"/>
        <v>11593014.417566508</v>
      </c>
      <c r="AF54" s="331"/>
      <c r="AH54" s="316"/>
      <c r="AI54" s="316"/>
      <c r="AJ54" s="316"/>
      <c r="AK54" s="316"/>
      <c r="AL54" s="316"/>
      <c r="AM54" s="316"/>
    </row>
    <row r="55" spans="1:43" s="317" customFormat="1" ht="17" customHeight="1" outlineLevel="1" x14ac:dyDescent="0.15">
      <c r="A55" s="358" t="s">
        <v>387</v>
      </c>
      <c r="B55" s="327"/>
      <c r="C55" s="327"/>
      <c r="D55" s="327"/>
      <c r="E55" s="327"/>
      <c r="F55" s="327"/>
      <c r="G55" s="328"/>
      <c r="H55" s="329"/>
      <c r="I55" s="330"/>
      <c r="J55" s="330"/>
      <c r="K55" s="359"/>
      <c r="L55" s="330"/>
      <c r="M55" s="330"/>
      <c r="N55" s="330"/>
      <c r="O55" s="330"/>
      <c r="P55" s="330"/>
      <c r="Q55" s="330"/>
      <c r="R55" s="330"/>
      <c r="S55" s="330"/>
      <c r="T55" s="330"/>
      <c r="U55" s="330"/>
      <c r="V55" s="330"/>
      <c r="W55" s="330"/>
      <c r="X55" s="360"/>
      <c r="Y55" s="361">
        <f>(Y54-X54)/X54</f>
        <v>-8.6212240727323707E-3</v>
      </c>
      <c r="Z55" s="361">
        <f t="shared" ref="Z55" si="49">(Z54-Y54)/Y54</f>
        <v>5.4603135803377174E-2</v>
      </c>
      <c r="AA55" s="362">
        <v>0</v>
      </c>
      <c r="AB55" s="362">
        <v>0.03</v>
      </c>
      <c r="AC55" s="362">
        <v>0</v>
      </c>
      <c r="AD55" s="362">
        <v>0</v>
      </c>
      <c r="AE55" s="362">
        <v>0</v>
      </c>
      <c r="AF55" s="331"/>
      <c r="AH55" s="316"/>
      <c r="AI55" s="316"/>
      <c r="AJ55" s="316"/>
      <c r="AK55" s="316"/>
      <c r="AL55" s="316"/>
      <c r="AM55" s="316"/>
    </row>
    <row r="56" spans="1:43" s="317" customFormat="1" ht="17" customHeight="1" outlineLevel="1" x14ac:dyDescent="0.15">
      <c r="A56" s="326" t="s">
        <v>534</v>
      </c>
      <c r="B56" s="327"/>
      <c r="C56" s="327"/>
      <c r="D56" s="327"/>
      <c r="E56" s="327"/>
      <c r="F56" s="327"/>
      <c r="G56" s="328"/>
      <c r="H56" s="329"/>
      <c r="I56" s="330"/>
      <c r="J56" s="330"/>
      <c r="K56" s="330"/>
      <c r="L56" s="330"/>
      <c r="M56" s="330"/>
      <c r="N56" s="330"/>
      <c r="O56" s="330"/>
      <c r="P56" s="330"/>
      <c r="Q56" s="330"/>
      <c r="R56" s="330"/>
      <c r="S56" s="330"/>
      <c r="T56" s="330"/>
      <c r="U56" s="330"/>
      <c r="V56" s="330"/>
      <c r="W56" s="330"/>
      <c r="X56" s="364">
        <f>(X51*1000000)/X54</f>
        <v>42.357894736842098</v>
      </c>
      <c r="Y56" s="364">
        <f t="shared" ref="Y56:Z56" si="50">(Y51*1000000)/Y54</f>
        <v>43.194736842105272</v>
      </c>
      <c r="Z56" s="364">
        <f t="shared" si="50"/>
        <v>43.623684210526321</v>
      </c>
      <c r="AA56" s="364">
        <f>Z56*(1+AA57)</f>
        <v>43.623684210526321</v>
      </c>
      <c r="AB56" s="364">
        <f>AA56*(1+AB57)</f>
        <v>48.858526315789483</v>
      </c>
      <c r="AC56" s="364">
        <f t="shared" ref="AC56:AE56" si="51">AB56*(1+AC57)</f>
        <v>48.858526315789483</v>
      </c>
      <c r="AD56" s="364">
        <f t="shared" si="51"/>
        <v>48.858526315789483</v>
      </c>
      <c r="AE56" s="364">
        <f t="shared" si="51"/>
        <v>48.858526315789483</v>
      </c>
      <c r="AF56" s="331"/>
      <c r="AH56" s="316"/>
      <c r="AI56" s="316"/>
      <c r="AJ56" s="316"/>
      <c r="AK56" s="316"/>
      <c r="AL56" s="316"/>
      <c r="AM56" s="316"/>
    </row>
    <row r="57" spans="1:43" s="317" customFormat="1" ht="17" customHeight="1" outlineLevel="1" x14ac:dyDescent="0.15">
      <c r="A57" s="358" t="s">
        <v>387</v>
      </c>
      <c r="B57" s="327"/>
      <c r="C57" s="327"/>
      <c r="D57" s="327"/>
      <c r="E57" s="327"/>
      <c r="F57" s="327"/>
      <c r="G57" s="328"/>
      <c r="H57" s="329"/>
      <c r="I57" s="330"/>
      <c r="J57" s="330"/>
      <c r="K57" s="359"/>
      <c r="L57" s="330"/>
      <c r="M57" s="330"/>
      <c r="N57" s="330"/>
      <c r="O57" s="330"/>
      <c r="P57" s="330"/>
      <c r="Q57" s="330"/>
      <c r="R57" s="330"/>
      <c r="S57" s="330"/>
      <c r="T57" s="330"/>
      <c r="U57" s="330"/>
      <c r="V57" s="330"/>
      <c r="W57" s="330"/>
      <c r="X57" s="360"/>
      <c r="Y57" s="361">
        <f>(Y56-X56)/X56</f>
        <v>1.9756461232604737E-2</v>
      </c>
      <c r="Z57" s="361">
        <f t="shared" ref="Z57" si="52">(Z56-Y56)/Y56</f>
        <v>9.9305470939441125E-3</v>
      </c>
      <c r="AA57" s="362">
        <v>0</v>
      </c>
      <c r="AB57" s="365">
        <v>0.12</v>
      </c>
      <c r="AC57" s="365">
        <v>0</v>
      </c>
      <c r="AD57" s="365">
        <v>0</v>
      </c>
      <c r="AE57" s="365">
        <v>0</v>
      </c>
      <c r="AF57" s="331"/>
      <c r="AH57" s="316"/>
      <c r="AI57" s="316"/>
      <c r="AJ57" s="316"/>
      <c r="AK57" s="316"/>
      <c r="AL57" s="316"/>
      <c r="AM57" s="316"/>
    </row>
    <row r="58" spans="1:43" s="316" customFormat="1" x14ac:dyDescent="0.15">
      <c r="A58" s="353" t="s">
        <v>382</v>
      </c>
      <c r="H58" s="321">
        <v>322.87860000000012</v>
      </c>
      <c r="I58" s="325">
        <v>336.5793000000001</v>
      </c>
      <c r="J58" s="325">
        <v>328.68000000000006</v>
      </c>
      <c r="K58" s="325">
        <v>797.0172</v>
      </c>
      <c r="L58" s="325">
        <v>322.07719999999995</v>
      </c>
      <c r="M58" s="325">
        <v>373.41700000000003</v>
      </c>
      <c r="N58" s="325">
        <v>0</v>
      </c>
      <c r="O58" s="325">
        <v>0</v>
      </c>
      <c r="P58" s="325">
        <v>445.98319999999995</v>
      </c>
      <c r="Q58" s="325">
        <v>389.02319999999986</v>
      </c>
      <c r="R58" s="325">
        <v>446.46280000000002</v>
      </c>
      <c r="S58" s="325">
        <v>447.46159999999998</v>
      </c>
      <c r="T58" s="325">
        <v>401.35140000000007</v>
      </c>
      <c r="U58" s="325">
        <v>328.54289999999997</v>
      </c>
      <c r="V58" s="325">
        <v>362.15399999999994</v>
      </c>
      <c r="W58" s="325">
        <v>362.22240000000005</v>
      </c>
      <c r="X58" s="324">
        <v>342</v>
      </c>
      <c r="Y58" s="324">
        <v>336</v>
      </c>
      <c r="Z58" s="324">
        <v>342</v>
      </c>
      <c r="AA58" s="324">
        <f>(AA59*AA54)/1000000</f>
        <v>342</v>
      </c>
      <c r="AB58" s="324">
        <f t="shared" ref="AB58:AE58" si="53">(AB59*AB54)/1000000</f>
        <v>362.82780000000008</v>
      </c>
      <c r="AC58" s="324">
        <f t="shared" si="53"/>
        <v>362.82780000000008</v>
      </c>
      <c r="AD58" s="324">
        <f t="shared" si="53"/>
        <v>362.82780000000008</v>
      </c>
      <c r="AE58" s="324">
        <f t="shared" si="53"/>
        <v>362.82780000000008</v>
      </c>
      <c r="AF58" s="319"/>
      <c r="AN58" s="317"/>
      <c r="AO58" s="317"/>
      <c r="AP58" s="317"/>
      <c r="AQ58" s="317"/>
    </row>
    <row r="59" spans="1:43" s="316" customFormat="1" outlineLevel="1" x14ac:dyDescent="0.15">
      <c r="A59" s="366" t="s">
        <v>541</v>
      </c>
      <c r="H59" s="321"/>
      <c r="I59" s="325"/>
      <c r="J59" s="325"/>
      <c r="K59" s="325"/>
      <c r="L59" s="325"/>
      <c r="M59" s="325"/>
      <c r="N59" s="325"/>
      <c r="O59" s="325"/>
      <c r="P59" s="325"/>
      <c r="Q59" s="325"/>
      <c r="R59" s="325"/>
      <c r="S59" s="325"/>
      <c r="T59" s="325"/>
      <c r="U59" s="325"/>
      <c r="V59" s="325"/>
      <c r="W59" s="325"/>
      <c r="X59" s="378">
        <f>(X58*1000000)/X54</f>
        <v>31.768421052631577</v>
      </c>
      <c r="Y59" s="378">
        <f t="shared" ref="Y59:Z59" si="54">(Y58*1000000)/Y54</f>
        <v>31.482498002055035</v>
      </c>
      <c r="Z59" s="378">
        <f t="shared" si="54"/>
        <v>30.385539714867619</v>
      </c>
      <c r="AA59" s="378">
        <f>Z59*(1+AA60)</f>
        <v>30.385539714867619</v>
      </c>
      <c r="AB59" s="378">
        <f t="shared" ref="AB59:AE59" si="55">AA59*(1+AB60)</f>
        <v>31.29710590631365</v>
      </c>
      <c r="AC59" s="378">
        <f t="shared" si="55"/>
        <v>31.29710590631365</v>
      </c>
      <c r="AD59" s="378">
        <f t="shared" si="55"/>
        <v>31.29710590631365</v>
      </c>
      <c r="AE59" s="378">
        <f t="shared" si="55"/>
        <v>31.29710590631365</v>
      </c>
      <c r="AF59" s="319"/>
    </row>
    <row r="60" spans="1:43" s="317" customFormat="1" ht="17" customHeight="1" outlineLevel="1" x14ac:dyDescent="0.15">
      <c r="A60" s="358" t="s">
        <v>387</v>
      </c>
      <c r="B60" s="327"/>
      <c r="C60" s="327"/>
      <c r="D60" s="327"/>
      <c r="E60" s="327"/>
      <c r="F60" s="327"/>
      <c r="G60" s="328"/>
      <c r="H60" s="329"/>
      <c r="I60" s="330"/>
      <c r="J60" s="330"/>
      <c r="K60" s="359"/>
      <c r="L60" s="330"/>
      <c r="M60" s="330"/>
      <c r="N60" s="330"/>
      <c r="O60" s="330"/>
      <c r="P60" s="330"/>
      <c r="Q60" s="330"/>
      <c r="R60" s="330"/>
      <c r="S60" s="330"/>
      <c r="T60" s="330"/>
      <c r="U60" s="330"/>
      <c r="V60" s="330"/>
      <c r="W60" s="330"/>
      <c r="X60" s="360"/>
      <c r="Y60" s="361">
        <f>(Y59-X59)/X59</f>
        <v>-9.0002285635425883E-3</v>
      </c>
      <c r="Z60" s="361">
        <f>(Z59-Y59)/Y59</f>
        <v>-3.484343228151119E-2</v>
      </c>
      <c r="AA60" s="362">
        <v>0</v>
      </c>
      <c r="AB60" s="365">
        <v>0.03</v>
      </c>
      <c r="AC60" s="365">
        <v>0</v>
      </c>
      <c r="AD60" s="365">
        <v>0</v>
      </c>
      <c r="AE60" s="365">
        <v>0</v>
      </c>
      <c r="AF60" s="331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</row>
    <row r="61" spans="1:43" s="316" customFormat="1" x14ac:dyDescent="0.15">
      <c r="A61" s="353" t="s">
        <v>389</v>
      </c>
      <c r="H61" s="321">
        <v>54.520999999999901</v>
      </c>
      <c r="I61" s="325">
        <v>21.179099999999892</v>
      </c>
      <c r="J61" s="325">
        <v>17.128200000000106</v>
      </c>
      <c r="K61" s="325">
        <v>190.83770000000004</v>
      </c>
      <c r="L61" s="325">
        <v>56.589500000000044</v>
      </c>
      <c r="M61" s="325">
        <v>-35.505399999999781</v>
      </c>
      <c r="N61" s="325">
        <v>328.85720000000003</v>
      </c>
      <c r="O61" s="325">
        <v>1296.8999999999999</v>
      </c>
      <c r="P61" s="325">
        <v>60.957400000000064</v>
      </c>
      <c r="Q61" s="325">
        <v>74.93630000000006</v>
      </c>
      <c r="R61" s="325">
        <v>-93.168000000000063</v>
      </c>
      <c r="S61" s="325">
        <v>5.6373999999999569</v>
      </c>
      <c r="T61" s="325">
        <v>168.3955</v>
      </c>
      <c r="U61" s="325">
        <v>146.21039999999991</v>
      </c>
      <c r="V61" s="325">
        <v>-3.7313999999998941</v>
      </c>
      <c r="W61" s="325">
        <v>-12.962600000000066</v>
      </c>
      <c r="X61" s="324">
        <f>X51*X62</f>
        <v>57.456000000000003</v>
      </c>
      <c r="Y61" s="324">
        <f>Y51*Y62</f>
        <v>57.625</v>
      </c>
      <c r="Z61" s="324">
        <f>Z51*Z62</f>
        <v>59.411000000000001</v>
      </c>
      <c r="AA61" s="324">
        <f>AA62*AA51</f>
        <v>56.465000000000003</v>
      </c>
      <c r="AB61" s="324">
        <f>AB51*AB62</f>
        <v>65.138024000000016</v>
      </c>
      <c r="AC61" s="324">
        <f>AC51*AC62</f>
        <v>65.138024000000016</v>
      </c>
      <c r="AD61" s="324">
        <f>AD51*AD62</f>
        <v>65.138024000000016</v>
      </c>
      <c r="AE61" s="324">
        <f>AE51*AE62</f>
        <v>65.138024000000016</v>
      </c>
      <c r="AF61" s="319"/>
      <c r="AN61" s="317"/>
      <c r="AO61" s="317"/>
      <c r="AP61" s="317"/>
      <c r="AQ61" s="317"/>
    </row>
    <row r="62" spans="1:43" s="316" customFormat="1" x14ac:dyDescent="0.15">
      <c r="A62" s="353" t="s">
        <v>384</v>
      </c>
      <c r="H62" s="332">
        <v>0.11972112428634143</v>
      </c>
      <c r="I62" s="354">
        <v>4.5871994801819124E-2</v>
      </c>
      <c r="J62" s="354">
        <v>3.7520700985761449E-2</v>
      </c>
      <c r="K62" s="354">
        <v>0.17167839150773664</v>
      </c>
      <c r="L62" s="354">
        <v>0.12404537483559852</v>
      </c>
      <c r="M62" s="354">
        <v>-7.7777437020810025E-2</v>
      </c>
      <c r="N62" s="354">
        <v>0.73734798206278029</v>
      </c>
      <c r="O62" s="354">
        <v>1.1831949639631421</v>
      </c>
      <c r="P62" s="354">
        <v>0.13504076207354912</v>
      </c>
      <c r="Q62" s="354">
        <v>0.16411804643013597</v>
      </c>
      <c r="R62" s="354">
        <v>-0.2099324019828753</v>
      </c>
      <c r="S62" s="354">
        <v>1.2384446397187955E-2</v>
      </c>
      <c r="T62" s="354">
        <v>0.36880310994305732</v>
      </c>
      <c r="U62" s="354">
        <v>0.31463395739186556</v>
      </c>
      <c r="V62" s="354">
        <v>-8.0366142580226042E-3</v>
      </c>
      <c r="W62" s="354">
        <v>-2.798488773747855E-2</v>
      </c>
      <c r="X62" s="300">
        <v>0.126</v>
      </c>
      <c r="Y62" s="300">
        <v>0.125</v>
      </c>
      <c r="Z62" s="300">
        <v>0.121</v>
      </c>
      <c r="AA62" s="368">
        <v>0.115</v>
      </c>
      <c r="AB62" s="368">
        <v>0.115</v>
      </c>
      <c r="AC62" s="368">
        <v>0.115</v>
      </c>
      <c r="AD62" s="368">
        <v>0.115</v>
      </c>
      <c r="AE62" s="368">
        <v>0.115</v>
      </c>
      <c r="AF62" s="319"/>
    </row>
    <row r="63" spans="1:43" s="316" customFormat="1" x14ac:dyDescent="0.15">
      <c r="A63" s="353" t="s">
        <v>273</v>
      </c>
      <c r="H63" s="332">
        <v>0.70900000000000007</v>
      </c>
      <c r="I63" s="354">
        <v>0.72900000000000009</v>
      </c>
      <c r="J63" s="354">
        <v>0.72</v>
      </c>
      <c r="K63" s="354">
        <v>0.71700000000000008</v>
      </c>
      <c r="L63" s="354">
        <v>0.70599999999999996</v>
      </c>
      <c r="M63" s="354">
        <v>0.81799999999999995</v>
      </c>
      <c r="N63" s="354">
        <v>0</v>
      </c>
      <c r="O63" s="354">
        <v>0</v>
      </c>
      <c r="P63" s="354">
        <v>0.98799999999999999</v>
      </c>
      <c r="Q63" s="354">
        <v>0.85199999999999998</v>
      </c>
      <c r="R63" s="354">
        <v>1.006</v>
      </c>
      <c r="S63" s="354">
        <v>0.98299999999999998</v>
      </c>
      <c r="T63" s="354">
        <v>0.879</v>
      </c>
      <c r="U63" s="354">
        <v>0.70700000000000007</v>
      </c>
      <c r="V63" s="354">
        <v>0.78</v>
      </c>
      <c r="W63" s="354">
        <v>0.78200000000000003</v>
      </c>
      <c r="X63" s="300">
        <f>X58/X51</f>
        <v>0.75</v>
      </c>
      <c r="Y63" s="300">
        <v>0.73</v>
      </c>
      <c r="Z63" s="300">
        <v>0.73299999999999998</v>
      </c>
      <c r="AA63" s="300">
        <f>AA58/AA51</f>
        <v>0.69653767820773926</v>
      </c>
      <c r="AB63" s="300">
        <f>AB58/AB51</f>
        <v>0.64056590049461737</v>
      </c>
      <c r="AC63" s="300">
        <f t="shared" ref="AC63:AE63" si="56">AC58/AC51</f>
        <v>0.64056590049461737</v>
      </c>
      <c r="AD63" s="300">
        <f t="shared" si="56"/>
        <v>0.64056590049461737</v>
      </c>
      <c r="AE63" s="300">
        <f t="shared" si="56"/>
        <v>0.64056590049461737</v>
      </c>
      <c r="AF63" s="319"/>
    </row>
    <row r="64" spans="1:43" s="316" customFormat="1" x14ac:dyDescent="0.15">
      <c r="A64" s="353" t="s">
        <v>82</v>
      </c>
      <c r="H64" s="121">
        <f>H51-H58-H61</f>
        <v>78.00040000000007</v>
      </c>
      <c r="I64" s="324">
        <f t="shared" ref="I64:W64" si="57">I51-I58-I61</f>
        <v>103.94160000000005</v>
      </c>
      <c r="J64" s="324">
        <f t="shared" si="57"/>
        <v>110.69179999999994</v>
      </c>
      <c r="K64" s="324">
        <f t="shared" si="57"/>
        <v>123.74509999999987</v>
      </c>
      <c r="L64" s="324">
        <f t="shared" si="57"/>
        <v>77.533299999999997</v>
      </c>
      <c r="M64" s="324">
        <f t="shared" si="57"/>
        <v>118.58839999999981</v>
      </c>
      <c r="N64" s="324">
        <f t="shared" si="57"/>
        <v>117.14280000000002</v>
      </c>
      <c r="O64" s="324">
        <f t="shared" si="57"/>
        <v>-200.79999999999995</v>
      </c>
      <c r="P64" s="324">
        <f t="shared" si="57"/>
        <v>-55.54060000000004</v>
      </c>
      <c r="Q64" s="324">
        <f t="shared" si="57"/>
        <v>-7.3595000000000681</v>
      </c>
      <c r="R64" s="324">
        <f t="shared" si="57"/>
        <v>90.505200000000059</v>
      </c>
      <c r="S64" s="324">
        <f t="shared" si="57"/>
        <v>2.1010000000000559</v>
      </c>
      <c r="T64" s="324">
        <f t="shared" si="57"/>
        <v>-113.14689999999999</v>
      </c>
      <c r="U64" s="324">
        <f t="shared" si="57"/>
        <v>-10.05329999999995</v>
      </c>
      <c r="V64" s="324">
        <f t="shared" si="57"/>
        <v>105.87739999999985</v>
      </c>
      <c r="W64" s="324">
        <f t="shared" si="57"/>
        <v>113.94020000000006</v>
      </c>
      <c r="X64" s="324">
        <f>X51-X58-X61</f>
        <v>56.543999999999997</v>
      </c>
      <c r="Y64" s="324">
        <f>Y51-Y58-Y61</f>
        <v>67.375</v>
      </c>
      <c r="Z64" s="324">
        <f>Z51-Z58-Z61</f>
        <v>89.588999999999999</v>
      </c>
      <c r="AA64" s="324">
        <f t="shared" ref="AA64:AE64" si="58">AA51-AA58-AA61</f>
        <v>92.534999999999997</v>
      </c>
      <c r="AB64" s="324">
        <f t="shared" si="58"/>
        <v>138.451776</v>
      </c>
      <c r="AC64" s="324">
        <f t="shared" si="58"/>
        <v>138.451776</v>
      </c>
      <c r="AD64" s="324">
        <f t="shared" si="58"/>
        <v>138.451776</v>
      </c>
      <c r="AE64" s="324">
        <f t="shared" si="58"/>
        <v>138.451776</v>
      </c>
      <c r="AF64" s="319"/>
    </row>
    <row r="65" spans="1:32" s="316" customFormat="1" x14ac:dyDescent="0.15">
      <c r="A65" s="353" t="s">
        <v>385</v>
      </c>
      <c r="G65" s="332"/>
      <c r="H65" s="332">
        <f>H64/H13</f>
        <v>0.31363248894250129</v>
      </c>
      <c r="I65" s="332">
        <f t="shared" ref="I65:AE65" si="59">I64/I13</f>
        <v>0.41197621878715834</v>
      </c>
      <c r="J65" s="332">
        <f t="shared" si="59"/>
        <v>0.43528037750688142</v>
      </c>
      <c r="K65" s="332">
        <f t="shared" si="59"/>
        <v>0.4733936495791885</v>
      </c>
      <c r="L65" s="332">
        <f t="shared" si="59"/>
        <v>0.29469137210186236</v>
      </c>
      <c r="M65" s="332">
        <f t="shared" si="59"/>
        <v>0.45297326203208482</v>
      </c>
      <c r="N65" s="332">
        <f t="shared" si="59"/>
        <v>0.50514359637774908</v>
      </c>
      <c r="O65" s="332">
        <f t="shared" si="59"/>
        <v>-1.0669500531349627</v>
      </c>
      <c r="P65" s="332">
        <f t="shared" si="59"/>
        <v>-0.3870425087108017</v>
      </c>
      <c r="Q65" s="332">
        <f t="shared" si="59"/>
        <v>-6.3608470181504478E-2</v>
      </c>
      <c r="R65" s="332">
        <f t="shared" si="59"/>
        <v>0.50476965978806498</v>
      </c>
      <c r="S65" s="332">
        <f t="shared" si="59"/>
        <v>2.3740112994350915E-2</v>
      </c>
      <c r="T65" s="332">
        <f t="shared" si="59"/>
        <v>-1.3900110565110562</v>
      </c>
      <c r="U65" s="332">
        <f t="shared" si="59"/>
        <v>-5.8585664335664048E-2</v>
      </c>
      <c r="V65" s="332">
        <f t="shared" si="59"/>
        <v>0.35842044685172603</v>
      </c>
      <c r="W65" s="332">
        <f t="shared" si="59"/>
        <v>0.4143280000000002</v>
      </c>
      <c r="X65" s="332">
        <f t="shared" si="59"/>
        <v>0.23452606605585263</v>
      </c>
      <c r="Y65" s="332">
        <f t="shared" si="59"/>
        <v>0.2494446501295815</v>
      </c>
      <c r="Z65" s="332">
        <f t="shared" si="59"/>
        <v>0.33816230008794806</v>
      </c>
      <c r="AA65" s="332">
        <f t="shared" si="59"/>
        <v>0.31510394497131089</v>
      </c>
      <c r="AB65" s="332">
        <f t="shared" si="59"/>
        <v>0.28686911184614045</v>
      </c>
      <c r="AC65" s="332">
        <f t="shared" si="59"/>
        <v>0.28686911184614045</v>
      </c>
      <c r="AD65" s="332">
        <f t="shared" si="59"/>
        <v>0.28686911184614045</v>
      </c>
      <c r="AE65" s="332">
        <f t="shared" si="59"/>
        <v>0.28686911184614045</v>
      </c>
      <c r="AF65" s="3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9C34-3634-437D-A7C8-EBEEB2E17681}">
  <dimension ref="A2:AQ65"/>
  <sheetViews>
    <sheetView zoomScale="80" zoomScaleNormal="80" workbookViewId="0">
      <pane xSplit="7" ySplit="2" topLeftCell="X20" activePane="bottomRight" state="frozen"/>
      <selection pane="topRight" activeCell="H1" sqref="H1"/>
      <selection pane="bottomLeft" activeCell="A3" sqref="A3"/>
      <selection pane="bottomRight" activeCell="AJ23" sqref="AJ23"/>
    </sheetView>
  </sheetViews>
  <sheetFormatPr baseColWidth="10" defaultColWidth="9.19921875" defaultRowHeight="14" outlineLevelRow="1" x14ac:dyDescent="0.15"/>
  <cols>
    <col min="1" max="1" width="25.796875" style="114" bestFit="1" customWidth="1"/>
    <col min="2" max="2" width="15" style="114" hidden="1" customWidth="1"/>
    <col min="3" max="3" width="10.19921875" style="114" hidden="1" customWidth="1"/>
    <col min="4" max="4" width="6.19921875" style="114" hidden="1" customWidth="1"/>
    <col min="5" max="5" width="13.19921875" style="114" hidden="1" customWidth="1"/>
    <col min="6" max="6" width="4.796875" style="114" hidden="1" customWidth="1"/>
    <col min="7" max="7" width="8.19921875" style="114" hidden="1" customWidth="1"/>
    <col min="8" max="11" width="9.19921875" style="114" bestFit="1" customWidth="1"/>
    <col min="12" max="12" width="12.796875" style="114" bestFit="1" customWidth="1"/>
    <col min="13" max="19" width="9.19921875" style="114" bestFit="1" customWidth="1"/>
    <col min="20" max="20" width="11.796875" style="114" bestFit="1" customWidth="1"/>
    <col min="21" max="23" width="9.19921875" style="114" bestFit="1" customWidth="1"/>
    <col min="24" max="24" width="12.59765625" style="114" bestFit="1" customWidth="1"/>
    <col min="25" max="26" width="13" style="114" bestFit="1" customWidth="1"/>
    <col min="27" max="27" width="12.19921875" style="114" bestFit="1" customWidth="1"/>
    <col min="28" max="28" width="13" style="114" bestFit="1" customWidth="1"/>
    <col min="29" max="31" width="11" style="114" bestFit="1" customWidth="1"/>
    <col min="32" max="35" width="9.19921875" style="114"/>
    <col min="36" max="36" width="18.796875" style="114" bestFit="1" customWidth="1"/>
    <col min="37" max="40" width="9.19921875" style="114" bestFit="1" customWidth="1"/>
    <col min="41" max="41" width="9.796875" style="114" bestFit="1" customWidth="1"/>
    <col min="42" max="42" width="10" style="114" bestFit="1" customWidth="1"/>
    <col min="43" max="16384" width="9.19921875" style="114"/>
  </cols>
  <sheetData>
    <row r="2" spans="1:43" s="316" customFormat="1" x14ac:dyDescent="0.15">
      <c r="A2" s="314"/>
      <c r="B2" s="314"/>
      <c r="C2" s="314"/>
      <c r="D2" s="315" t="s">
        <v>347</v>
      </c>
      <c r="E2" s="315" t="s">
        <v>348</v>
      </c>
      <c r="F2" s="315" t="s">
        <v>349</v>
      </c>
      <c r="G2" s="315" t="s">
        <v>350</v>
      </c>
      <c r="H2" s="315" t="s">
        <v>351</v>
      </c>
      <c r="I2" s="315" t="s">
        <v>352</v>
      </c>
      <c r="J2" s="315" t="s">
        <v>353</v>
      </c>
      <c r="K2" s="315" t="s">
        <v>354</v>
      </c>
      <c r="L2" s="315" t="s">
        <v>355</v>
      </c>
      <c r="M2" s="315" t="s">
        <v>356</v>
      </c>
      <c r="N2" s="315" t="s">
        <v>357</v>
      </c>
      <c r="O2" s="315" t="s">
        <v>358</v>
      </c>
      <c r="P2" s="315" t="s">
        <v>359</v>
      </c>
      <c r="Q2" s="315" t="s">
        <v>360</v>
      </c>
      <c r="R2" s="315" t="s">
        <v>361</v>
      </c>
      <c r="S2" s="315" t="s">
        <v>362</v>
      </c>
      <c r="T2" s="315" t="s">
        <v>363</v>
      </c>
      <c r="U2" s="315" t="s">
        <v>364</v>
      </c>
      <c r="V2" s="315" t="s">
        <v>365</v>
      </c>
      <c r="W2" s="315" t="s">
        <v>366</v>
      </c>
      <c r="X2" s="315" t="s">
        <v>367</v>
      </c>
      <c r="Y2" s="315" t="s">
        <v>368</v>
      </c>
      <c r="Z2" s="315" t="s">
        <v>542</v>
      </c>
      <c r="AA2" s="315" t="s">
        <v>370</v>
      </c>
      <c r="AB2" s="315" t="s">
        <v>537</v>
      </c>
      <c r="AC2" s="315" t="s">
        <v>538</v>
      </c>
      <c r="AD2" s="315" t="s">
        <v>539</v>
      </c>
      <c r="AE2" s="315" t="s">
        <v>540</v>
      </c>
      <c r="AJ2" s="317"/>
      <c r="AK2" s="317">
        <v>2019</v>
      </c>
      <c r="AL2" s="317">
        <v>2020</v>
      </c>
      <c r="AM2" s="317">
        <v>2021</v>
      </c>
      <c r="AN2" s="317">
        <v>2022</v>
      </c>
      <c r="AO2" s="331" t="s">
        <v>397</v>
      </c>
      <c r="AP2" s="331" t="s">
        <v>371</v>
      </c>
      <c r="AQ2" s="331" t="s">
        <v>372</v>
      </c>
    </row>
    <row r="3" spans="1:43" x14ac:dyDescent="0.15">
      <c r="I3" s="310"/>
      <c r="J3" s="310"/>
      <c r="K3" s="310"/>
      <c r="L3" s="311"/>
      <c r="M3" s="310"/>
      <c r="N3" s="310"/>
      <c r="O3" s="310"/>
      <c r="P3" s="310"/>
      <c r="Q3" s="310"/>
      <c r="R3" s="310"/>
      <c r="S3" s="310"/>
      <c r="T3" s="311"/>
      <c r="U3" s="310"/>
      <c r="V3" s="310"/>
      <c r="W3" s="310"/>
      <c r="X3" s="311"/>
      <c r="Y3" s="310"/>
      <c r="Z3" s="311"/>
      <c r="AA3" s="310"/>
      <c r="AB3" s="311"/>
      <c r="AC3" s="310"/>
      <c r="AD3" s="311"/>
      <c r="AE3" s="310"/>
      <c r="AF3" s="310"/>
    </row>
    <row r="4" spans="1:43" s="316" customFormat="1" x14ac:dyDescent="0.15">
      <c r="A4" s="318" t="s">
        <v>373</v>
      </c>
      <c r="I4" s="319"/>
      <c r="J4" s="319"/>
      <c r="K4" s="319"/>
      <c r="L4" s="319"/>
      <c r="M4" s="319"/>
      <c r="N4" s="319"/>
      <c r="O4" s="319"/>
      <c r="P4" s="319"/>
      <c r="Q4" s="319"/>
      <c r="R4" s="319"/>
      <c r="S4" s="319"/>
      <c r="T4" s="319"/>
      <c r="U4" s="319"/>
      <c r="V4" s="319"/>
      <c r="W4" s="319"/>
      <c r="X4" s="319"/>
      <c r="Y4" s="319"/>
      <c r="Z4" s="319"/>
      <c r="AA4" s="319"/>
      <c r="AB4" s="319"/>
      <c r="AC4" s="319"/>
      <c r="AD4" s="319"/>
      <c r="AE4" s="319"/>
      <c r="AF4" s="319"/>
    </row>
    <row r="5" spans="1:43" s="321" customFormat="1" x14ac:dyDescent="0.15">
      <c r="A5" s="320" t="s">
        <v>374</v>
      </c>
      <c r="G5" s="220">
        <v>1435.1</v>
      </c>
      <c r="H5" s="220">
        <v>1501.9</v>
      </c>
      <c r="I5" s="322">
        <v>1504.5</v>
      </c>
      <c r="J5" s="322">
        <v>1501.9</v>
      </c>
      <c r="K5" s="322">
        <v>1508.3</v>
      </c>
      <c r="L5" s="322">
        <v>1527.7</v>
      </c>
      <c r="M5" s="322">
        <v>1522.7</v>
      </c>
      <c r="N5" s="322">
        <v>1483.4</v>
      </c>
      <c r="O5" s="322">
        <v>1485.1</v>
      </c>
      <c r="P5" s="322">
        <v>1525.8</v>
      </c>
      <c r="Q5" s="322">
        <v>1522.1</v>
      </c>
      <c r="R5" s="322">
        <v>1500.8</v>
      </c>
      <c r="S5" s="322">
        <v>1529.3</v>
      </c>
      <c r="T5" s="322">
        <v>1544.9</v>
      </c>
      <c r="U5" s="322">
        <v>1572.3</v>
      </c>
      <c r="V5" s="322">
        <v>1559.6</v>
      </c>
      <c r="W5" s="322">
        <v>1581.5</v>
      </c>
      <c r="X5" s="323">
        <v>1609.6</v>
      </c>
      <c r="Y5" s="323">
        <v>1641.4</v>
      </c>
      <c r="Z5" s="323">
        <v>1657.7</v>
      </c>
      <c r="AA5" s="324">
        <f>AA17+AA34+AA51</f>
        <v>1681</v>
      </c>
      <c r="AB5" s="324">
        <f t="shared" ref="AB5:AE5" si="0">AB17+AB34+AB51</f>
        <v>1681</v>
      </c>
      <c r="AC5" s="324">
        <f t="shared" si="0"/>
        <v>1681</v>
      </c>
      <c r="AD5" s="324">
        <f t="shared" si="0"/>
        <v>1681</v>
      </c>
      <c r="AE5" s="324">
        <f t="shared" si="0"/>
        <v>1681</v>
      </c>
      <c r="AF5" s="325"/>
      <c r="AH5" s="316"/>
      <c r="AI5" s="316"/>
      <c r="AJ5" s="316" t="s">
        <v>535</v>
      </c>
      <c r="AK5" s="325">
        <f>SUM(H5:K5)</f>
        <v>6016.6</v>
      </c>
      <c r="AL5" s="325">
        <f>SUM(L5:O5)</f>
        <v>6018.9</v>
      </c>
      <c r="AM5" s="325">
        <f>SUM(P5:S5)</f>
        <v>6078</v>
      </c>
      <c r="AN5" s="325">
        <f>SUM(T5:W5)</f>
        <v>6258.2999999999993</v>
      </c>
      <c r="AO5" s="325">
        <f>SUM(X5:AA5)</f>
        <v>6589.7</v>
      </c>
      <c r="AP5" s="325">
        <f>SUM(AB5:AE5)</f>
        <v>6724</v>
      </c>
      <c r="AQ5" s="325">
        <f>AP5*(1+AQ6)</f>
        <v>6724</v>
      </c>
    </row>
    <row r="6" spans="1:43" s="317" customFormat="1" ht="15" outlineLevel="1" x14ac:dyDescent="0.15">
      <c r="A6" s="326" t="s">
        <v>387</v>
      </c>
      <c r="B6" s="327"/>
      <c r="C6" s="327"/>
      <c r="D6" s="327"/>
      <c r="E6" s="327"/>
      <c r="F6" s="327"/>
      <c r="G6" s="328"/>
      <c r="H6" s="329"/>
      <c r="I6" s="330">
        <f t="shared" ref="I6:AE6" si="1">(I5-H5)/H5</f>
        <v>1.7311405552965637E-3</v>
      </c>
      <c r="J6" s="330">
        <f t="shared" si="1"/>
        <v>-1.7281488866732529E-3</v>
      </c>
      <c r="K6" s="330">
        <f t="shared" si="1"/>
        <v>4.2612690591915994E-3</v>
      </c>
      <c r="L6" s="330">
        <f t="shared" si="1"/>
        <v>1.2862162699728232E-2</v>
      </c>
      <c r="M6" s="330">
        <f t="shared" si="1"/>
        <v>-3.272893892779996E-3</v>
      </c>
      <c r="N6" s="330">
        <f t="shared" si="1"/>
        <v>-2.5809417482104125E-2</v>
      </c>
      <c r="O6" s="330">
        <f t="shared" si="1"/>
        <v>1.1460159093972077E-3</v>
      </c>
      <c r="P6" s="330">
        <f t="shared" si="1"/>
        <v>2.7405561915022591E-2</v>
      </c>
      <c r="Q6" s="330">
        <f t="shared" si="1"/>
        <v>-2.4249573993970677E-3</v>
      </c>
      <c r="R6" s="330">
        <f t="shared" si="1"/>
        <v>-1.3993824321660834E-2</v>
      </c>
      <c r="S6" s="330">
        <f t="shared" si="1"/>
        <v>1.8989872068230277E-2</v>
      </c>
      <c r="T6" s="330">
        <f t="shared" si="1"/>
        <v>1.0200745439089869E-2</v>
      </c>
      <c r="U6" s="330">
        <f t="shared" si="1"/>
        <v>1.7735775778367442E-2</v>
      </c>
      <c r="V6" s="330">
        <f t="shared" si="1"/>
        <v>-8.0773389302296293E-3</v>
      </c>
      <c r="W6" s="330">
        <f t="shared" si="1"/>
        <v>1.4042062067196777E-2</v>
      </c>
      <c r="X6" s="330">
        <f t="shared" si="1"/>
        <v>1.7767941827379011E-2</v>
      </c>
      <c r="Y6" s="330">
        <f t="shared" si="1"/>
        <v>1.9756461232604487E-2</v>
      </c>
      <c r="Z6" s="330">
        <f t="shared" si="1"/>
        <v>9.9305470939441663E-3</v>
      </c>
      <c r="AA6" s="330">
        <f t="shared" si="1"/>
        <v>1.4055619231465255E-2</v>
      </c>
      <c r="AB6" s="330">
        <f t="shared" si="1"/>
        <v>0</v>
      </c>
      <c r="AC6" s="330">
        <f t="shared" si="1"/>
        <v>0</v>
      </c>
      <c r="AD6" s="330">
        <f t="shared" si="1"/>
        <v>0</v>
      </c>
      <c r="AE6" s="330">
        <f t="shared" si="1"/>
        <v>0</v>
      </c>
      <c r="AF6" s="331"/>
      <c r="AH6" s="316"/>
      <c r="AI6" s="316"/>
      <c r="AJ6" s="316" t="s">
        <v>536</v>
      </c>
      <c r="AK6" s="325"/>
      <c r="AL6" s="700">
        <f>(AL5-AK5)/AK5</f>
        <v>3.8227570388579466E-4</v>
      </c>
      <c r="AM6" s="700">
        <f>(AM5-AL5)/AL5</f>
        <v>9.8190699297214384E-3</v>
      </c>
      <c r="AN6" s="700">
        <f>(AN5-AM5)/AM5</f>
        <v>2.966436327739376E-2</v>
      </c>
      <c r="AO6" s="700">
        <f>(AO5-AN5)/AN5</f>
        <v>5.2953677516258499E-2</v>
      </c>
      <c r="AP6" s="700">
        <f>(AP5-AO5)/AO5</f>
        <v>2.0380290453283181E-2</v>
      </c>
      <c r="AQ6" s="701">
        <v>0</v>
      </c>
    </row>
    <row r="7" spans="1:43" s="317" customFormat="1" ht="15" outlineLevel="1" x14ac:dyDescent="0.15">
      <c r="A7" s="326" t="s">
        <v>532</v>
      </c>
      <c r="B7" s="327"/>
      <c r="C7" s="327"/>
      <c r="D7" s="327"/>
      <c r="E7" s="327"/>
      <c r="F7" s="327"/>
      <c r="G7" s="328"/>
      <c r="H7" s="333"/>
      <c r="I7" s="334"/>
      <c r="J7" s="334"/>
      <c r="K7" s="334"/>
      <c r="L7" s="334"/>
      <c r="M7" s="334"/>
      <c r="N7" s="334"/>
      <c r="O7" s="334"/>
      <c r="P7" s="334"/>
      <c r="Q7" s="334"/>
      <c r="R7" s="334"/>
      <c r="S7" s="334"/>
      <c r="T7" s="334"/>
      <c r="U7" s="334"/>
      <c r="V7" s="334"/>
      <c r="W7" s="334"/>
      <c r="X7" s="335">
        <v>38000000</v>
      </c>
      <c r="Y7" s="335">
        <v>38000000</v>
      </c>
      <c r="Z7" s="335">
        <v>38000000</v>
      </c>
      <c r="AA7" s="335">
        <f>AA20+AA37+AA54</f>
        <v>38534113.530795678</v>
      </c>
      <c r="AB7" s="335">
        <f t="shared" ref="AB7:AE7" si="2">AB20+AB37+AB54</f>
        <v>38534113.530795678</v>
      </c>
      <c r="AC7" s="335">
        <f t="shared" si="2"/>
        <v>38534113.530795678</v>
      </c>
      <c r="AD7" s="335">
        <f t="shared" si="2"/>
        <v>38534113.530795678</v>
      </c>
      <c r="AE7" s="335">
        <f t="shared" si="2"/>
        <v>38534113.530795678</v>
      </c>
      <c r="AF7" s="331"/>
      <c r="AH7" s="316"/>
      <c r="AI7" s="316"/>
      <c r="AJ7" s="316"/>
      <c r="AK7" s="325"/>
      <c r="AL7" s="325"/>
      <c r="AM7" s="325"/>
      <c r="AN7" s="325"/>
      <c r="AO7" s="336"/>
      <c r="AP7" s="383"/>
      <c r="AQ7" s="331"/>
    </row>
    <row r="8" spans="1:43" s="317" customFormat="1" ht="30" outlineLevel="1" x14ac:dyDescent="0.15">
      <c r="A8" s="326" t="s">
        <v>534</v>
      </c>
      <c r="B8" s="327"/>
      <c r="C8" s="327"/>
      <c r="D8" s="327"/>
      <c r="E8" s="327"/>
      <c r="F8" s="327"/>
      <c r="G8" s="328"/>
      <c r="H8" s="333"/>
      <c r="I8" s="334"/>
      <c r="J8" s="334"/>
      <c r="K8" s="334"/>
      <c r="L8" s="334"/>
      <c r="M8" s="334"/>
      <c r="N8" s="334"/>
      <c r="O8" s="334"/>
      <c r="P8" s="334"/>
      <c r="Q8" s="334"/>
      <c r="R8" s="334"/>
      <c r="S8" s="334"/>
      <c r="T8" s="334"/>
      <c r="U8" s="334"/>
      <c r="V8" s="334"/>
      <c r="W8" s="334"/>
      <c r="X8" s="337">
        <f>(X5*1000000)/X7</f>
        <v>42.357894736842105</v>
      </c>
      <c r="Y8" s="337">
        <f t="shared" ref="Y8:AE8" si="3">(Y5*1000000)/Y7</f>
        <v>43.194736842105264</v>
      </c>
      <c r="Z8" s="337">
        <f t="shared" si="3"/>
        <v>43.623684210526314</v>
      </c>
      <c r="AA8" s="337">
        <f t="shared" si="3"/>
        <v>43.623684210526321</v>
      </c>
      <c r="AB8" s="337">
        <f t="shared" si="3"/>
        <v>43.623684210526321</v>
      </c>
      <c r="AC8" s="337">
        <f t="shared" si="3"/>
        <v>43.623684210526321</v>
      </c>
      <c r="AD8" s="337">
        <f t="shared" si="3"/>
        <v>43.623684210526321</v>
      </c>
      <c r="AE8" s="337">
        <f t="shared" si="3"/>
        <v>43.623684210526321</v>
      </c>
      <c r="AF8" s="331"/>
      <c r="AH8" s="316"/>
      <c r="AI8" s="316"/>
      <c r="AJ8" s="316"/>
      <c r="AK8" s="325"/>
      <c r="AL8" s="325"/>
      <c r="AM8" s="325"/>
      <c r="AN8" s="325"/>
      <c r="AO8" s="325"/>
      <c r="AP8" s="384"/>
      <c r="AQ8" s="331"/>
    </row>
    <row r="9" spans="1:43" s="317" customFormat="1" ht="15" outlineLevel="1" x14ac:dyDescent="0.15">
      <c r="A9" s="326" t="s">
        <v>387</v>
      </c>
      <c r="B9" s="327"/>
      <c r="C9" s="327"/>
      <c r="D9" s="327"/>
      <c r="E9" s="327"/>
      <c r="F9" s="327"/>
      <c r="G9" s="328"/>
      <c r="H9" s="329"/>
      <c r="I9" s="330"/>
      <c r="J9" s="330"/>
      <c r="K9" s="330"/>
      <c r="L9" s="330"/>
      <c r="M9" s="330"/>
      <c r="N9" s="330"/>
      <c r="O9" s="330"/>
      <c r="P9" s="330"/>
      <c r="Q9" s="330"/>
      <c r="R9" s="330"/>
      <c r="S9" s="330"/>
      <c r="T9" s="330"/>
      <c r="U9" s="330"/>
      <c r="V9" s="330"/>
      <c r="W9" s="330"/>
      <c r="X9" s="330"/>
      <c r="Y9" s="330">
        <f>(Y8-X8)/X8</f>
        <v>1.9756461232604397E-2</v>
      </c>
      <c r="Z9" s="330">
        <f>(Z8-Y8)/Y8</f>
        <v>9.9305470939441143E-3</v>
      </c>
      <c r="AA9" s="330">
        <f>(AA8-Z8)/Z8</f>
        <v>1.6288003835967792E-16</v>
      </c>
      <c r="AB9" s="330">
        <v>0.05</v>
      </c>
      <c r="AC9" s="330">
        <v>0.01</v>
      </c>
      <c r="AD9" s="330">
        <f>(AD8-AC8)/AC8</f>
        <v>0</v>
      </c>
      <c r="AE9" s="330">
        <f>(AE8-AD8)/AD8</f>
        <v>0</v>
      </c>
      <c r="AF9" s="331"/>
      <c r="AH9" s="316"/>
      <c r="AI9" s="316"/>
      <c r="AJ9" s="316"/>
      <c r="AK9" s="325"/>
      <c r="AL9" s="325"/>
      <c r="AM9" s="325"/>
      <c r="AN9" s="325"/>
      <c r="AO9" s="325"/>
      <c r="AP9" s="385"/>
      <c r="AQ9" s="331"/>
    </row>
    <row r="10" spans="1:43" s="321" customFormat="1" x14ac:dyDescent="0.15">
      <c r="A10" s="320" t="s">
        <v>375</v>
      </c>
      <c r="G10" s="220"/>
      <c r="H10" s="220">
        <v>945.48840000000018</v>
      </c>
      <c r="I10" s="322">
        <v>987.39490000000012</v>
      </c>
      <c r="J10" s="322">
        <v>985.14679999999998</v>
      </c>
      <c r="K10" s="322">
        <v>977.91239999999993</v>
      </c>
      <c r="L10" s="322">
        <v>942.26869999999997</v>
      </c>
      <c r="M10" s="322">
        <v>1030.2759999999998</v>
      </c>
      <c r="N10" s="322">
        <v>657.36390000000006</v>
      </c>
      <c r="O10" s="322">
        <v>0</v>
      </c>
      <c r="P10" s="322">
        <v>1107.1018999999999</v>
      </c>
      <c r="Q10" s="322">
        <v>1064.9951999999998</v>
      </c>
      <c r="R10" s="322">
        <v>1153.4322</v>
      </c>
      <c r="S10" s="322">
        <v>1149.9971</v>
      </c>
      <c r="T10" s="322">
        <v>1069.9816000000001</v>
      </c>
      <c r="U10" s="322">
        <v>961.30770000000007</v>
      </c>
      <c r="V10" s="322">
        <v>972.08489999999983</v>
      </c>
      <c r="W10" s="322">
        <v>1005.0559000000001</v>
      </c>
      <c r="X10" s="323">
        <f>X24+X41+X58</f>
        <v>1011</v>
      </c>
      <c r="Y10" s="323">
        <f t="shared" ref="Y10:AE10" si="4">Y24+Y41+Y58</f>
        <v>1006</v>
      </c>
      <c r="Z10" s="323">
        <f t="shared" si="4"/>
        <v>1007.9</v>
      </c>
      <c r="AA10" s="323">
        <f>AA24+AA41+AA58</f>
        <v>1007.9</v>
      </c>
      <c r="AB10" s="323">
        <f>AB24+AB41+AB58</f>
        <v>1058.2950000000001</v>
      </c>
      <c r="AC10" s="323">
        <f t="shared" si="4"/>
        <v>1058.2950000000001</v>
      </c>
      <c r="AD10" s="323">
        <f t="shared" si="4"/>
        <v>1058.2950000000001</v>
      </c>
      <c r="AE10" s="323">
        <f t="shared" si="4"/>
        <v>1058.2950000000001</v>
      </c>
      <c r="AF10" s="325"/>
      <c r="AJ10" s="321" t="s">
        <v>382</v>
      </c>
      <c r="AK10" s="325">
        <f>SUM(H10:K10)</f>
        <v>3895.9425000000001</v>
      </c>
      <c r="AL10" s="325">
        <f>SUM(L10:O10)</f>
        <v>2629.9085999999998</v>
      </c>
      <c r="AM10" s="325">
        <f>SUM(P10:S10)</f>
        <v>4475.5264000000006</v>
      </c>
      <c r="AN10" s="325">
        <f>SUM(T10:W10)</f>
        <v>4008.4301000000005</v>
      </c>
      <c r="AO10" s="325">
        <f>SUM(X10:AA10)</f>
        <v>4032.8</v>
      </c>
      <c r="AP10" s="324">
        <f>SUM(AB10:AE10)</f>
        <v>4233.18</v>
      </c>
      <c r="AQ10" s="325">
        <f>AQ12*AQ5</f>
        <v>4233.18</v>
      </c>
    </row>
    <row r="11" spans="1:43" s="321" customFormat="1" x14ac:dyDescent="0.15">
      <c r="A11" s="320" t="s">
        <v>376</v>
      </c>
      <c r="G11" s="220"/>
      <c r="H11" s="220">
        <v>307.71159999999992</v>
      </c>
      <c r="I11" s="322">
        <v>264.80509999999987</v>
      </c>
      <c r="J11" s="322">
        <v>262.45320000000009</v>
      </c>
      <c r="K11" s="322">
        <v>268.98760000000004</v>
      </c>
      <c r="L11" s="322">
        <v>322.33130000000006</v>
      </c>
      <c r="M11" s="322">
        <v>230.62400000000019</v>
      </c>
      <c r="N11" s="322">
        <v>594.13610000000006</v>
      </c>
      <c r="O11" s="322">
        <v>1296.8999999999999</v>
      </c>
      <c r="P11" s="322">
        <v>275.19810000000007</v>
      </c>
      <c r="Q11" s="322">
        <v>341.40480000000008</v>
      </c>
      <c r="R11" s="322">
        <v>168.06779999999998</v>
      </c>
      <c r="S11" s="322">
        <v>290.80289999999991</v>
      </c>
      <c r="T11" s="322">
        <v>393.51840000000004</v>
      </c>
      <c r="U11" s="322">
        <v>439.39229999999986</v>
      </c>
      <c r="V11" s="322">
        <v>292.1151000000001</v>
      </c>
      <c r="W11" s="322">
        <v>301.44409999999993</v>
      </c>
      <c r="X11" s="323">
        <f>X27+X44+X61</f>
        <v>357.50099999999998</v>
      </c>
      <c r="Y11" s="323">
        <f t="shared" ref="Y11:AE11" si="5">Y27+Y44+Y61</f>
        <v>365.29999999999995</v>
      </c>
      <c r="Z11" s="323">
        <f t="shared" si="5"/>
        <v>384.87100000000004</v>
      </c>
      <c r="AA11" s="323">
        <f t="shared" si="5"/>
        <v>379.43500000000006</v>
      </c>
      <c r="AB11" s="323">
        <f t="shared" si="5"/>
        <v>381.92500000000007</v>
      </c>
      <c r="AC11" s="323">
        <f t="shared" si="5"/>
        <v>379.43500000000006</v>
      </c>
      <c r="AD11" s="323">
        <f t="shared" si="5"/>
        <v>381.92500000000007</v>
      </c>
      <c r="AE11" s="323">
        <f t="shared" si="5"/>
        <v>379.43500000000006</v>
      </c>
      <c r="AF11" s="325"/>
      <c r="AJ11" s="321" t="s">
        <v>383</v>
      </c>
      <c r="AK11" s="325">
        <f>SUM(H11:K11)</f>
        <v>1103.9575</v>
      </c>
      <c r="AL11" s="325">
        <f>SUM(L11:O11)</f>
        <v>2443.9913999999999</v>
      </c>
      <c r="AM11" s="325">
        <f>SUM(P11:S11)</f>
        <v>1075.4736</v>
      </c>
      <c r="AN11" s="325">
        <f>SUM(T11:W11)</f>
        <v>1426.4698999999998</v>
      </c>
      <c r="AO11" s="325">
        <f>SUM(X11:AA11)</f>
        <v>1487.107</v>
      </c>
      <c r="AP11" s="325">
        <f>SUM(AB11:AE11)</f>
        <v>1522.7200000000003</v>
      </c>
      <c r="AQ11" s="325">
        <f>AQ13*AQ5</f>
        <v>1522.7200000000003</v>
      </c>
    </row>
    <row r="12" spans="1:43" s="316" customFormat="1" x14ac:dyDescent="0.15">
      <c r="A12" s="338" t="s">
        <v>377</v>
      </c>
      <c r="D12" s="339" t="s">
        <v>378</v>
      </c>
      <c r="G12" s="219"/>
      <c r="H12" s="340">
        <v>0.6295281976163527</v>
      </c>
      <c r="I12" s="341">
        <v>0.65629438351611835</v>
      </c>
      <c r="J12" s="341">
        <v>0.6559336840002663</v>
      </c>
      <c r="K12" s="341">
        <v>0.6483540409732812</v>
      </c>
      <c r="L12" s="341">
        <v>0.61678909471754917</v>
      </c>
      <c r="M12" s="341">
        <v>0.67661128259013581</v>
      </c>
      <c r="N12" s="341">
        <v>0.44314675744910342</v>
      </c>
      <c r="O12" s="341">
        <v>0</v>
      </c>
      <c r="P12" s="341">
        <v>0.72558782278149159</v>
      </c>
      <c r="Q12" s="341">
        <v>0.6996880625451678</v>
      </c>
      <c r="R12" s="341">
        <v>0.76854490938166309</v>
      </c>
      <c r="S12" s="341">
        <v>0.75197613287124832</v>
      </c>
      <c r="T12" s="341">
        <v>0.69258955272185907</v>
      </c>
      <c r="U12" s="341">
        <v>0.6114022133180691</v>
      </c>
      <c r="V12" s="341">
        <v>0.62329116440112842</v>
      </c>
      <c r="W12" s="341">
        <v>0.63550799873537789</v>
      </c>
      <c r="X12" s="342">
        <f>X10/X5</f>
        <v>0.62810636182902591</v>
      </c>
      <c r="Y12" s="342">
        <f t="shared" ref="Y12:AE12" si="6">Y10/Y5</f>
        <v>0.61289143414158642</v>
      </c>
      <c r="Z12" s="342">
        <f t="shared" si="6"/>
        <v>0.6080110997164746</v>
      </c>
      <c r="AA12" s="342">
        <f t="shared" si="6"/>
        <v>0.59958358120166566</v>
      </c>
      <c r="AB12" s="342">
        <f t="shared" si="6"/>
        <v>0.62956276026174895</v>
      </c>
      <c r="AC12" s="342">
        <f t="shared" si="6"/>
        <v>0.62956276026174895</v>
      </c>
      <c r="AD12" s="342">
        <f t="shared" si="6"/>
        <v>0.62956276026174895</v>
      </c>
      <c r="AE12" s="342">
        <f t="shared" si="6"/>
        <v>0.62956276026174895</v>
      </c>
      <c r="AF12" s="319"/>
      <c r="AH12" s="321"/>
      <c r="AI12" s="321"/>
      <c r="AJ12" s="321" t="s">
        <v>273</v>
      </c>
      <c r="AK12" s="354">
        <f>AK10/AK5</f>
        <v>0.64753224412458865</v>
      </c>
      <c r="AL12" s="354">
        <f t="shared" ref="AL12:AP12" si="7">AL10/AL5</f>
        <v>0.43694173353935101</v>
      </c>
      <c r="AM12" s="354">
        <f t="shared" si="7"/>
        <v>0.73634853570253378</v>
      </c>
      <c r="AN12" s="354">
        <f t="shared" si="7"/>
        <v>0.64049823434479025</v>
      </c>
      <c r="AO12" s="354">
        <f t="shared" si="7"/>
        <v>0.61198537110945872</v>
      </c>
      <c r="AP12" s="354">
        <f t="shared" si="7"/>
        <v>0.62956276026174895</v>
      </c>
      <c r="AQ12" s="382">
        <f>AP12</f>
        <v>0.62956276026174895</v>
      </c>
    </row>
    <row r="13" spans="1:43" s="344" customFormat="1" x14ac:dyDescent="0.15">
      <c r="A13" s="343" t="s">
        <v>379</v>
      </c>
      <c r="H13" s="345">
        <v>248.7</v>
      </c>
      <c r="I13" s="346">
        <v>252.3</v>
      </c>
      <c r="J13" s="346">
        <v>254.3</v>
      </c>
      <c r="K13" s="346">
        <v>261.39999999999998</v>
      </c>
      <c r="L13" s="346">
        <v>263.10000000000002</v>
      </c>
      <c r="M13" s="346">
        <v>261.8</v>
      </c>
      <c r="N13" s="346">
        <v>231.9</v>
      </c>
      <c r="O13" s="346">
        <v>188.2</v>
      </c>
      <c r="P13" s="346">
        <v>143.5</v>
      </c>
      <c r="Q13" s="346">
        <v>115.7</v>
      </c>
      <c r="R13" s="346">
        <v>179.3</v>
      </c>
      <c r="S13" s="346">
        <v>88.5</v>
      </c>
      <c r="T13" s="346">
        <v>81.400000000000006</v>
      </c>
      <c r="U13" s="346">
        <v>171.6</v>
      </c>
      <c r="V13" s="346">
        <v>295.39999999999998</v>
      </c>
      <c r="W13" s="346">
        <v>275</v>
      </c>
      <c r="X13" s="347">
        <f>X5-X10-X11</f>
        <v>241.09899999999993</v>
      </c>
      <c r="Y13" s="347">
        <f t="shared" ref="Y13:AE13" si="8">Y5-Y10-Y11</f>
        <v>270.10000000000014</v>
      </c>
      <c r="Z13" s="347">
        <f t="shared" si="8"/>
        <v>264.92900000000003</v>
      </c>
      <c r="AA13" s="347">
        <f t="shared" si="8"/>
        <v>293.66499999999996</v>
      </c>
      <c r="AB13" s="347">
        <f t="shared" si="8"/>
        <v>240.77999999999986</v>
      </c>
      <c r="AC13" s="347">
        <f t="shared" si="8"/>
        <v>243.26999999999987</v>
      </c>
      <c r="AD13" s="347">
        <f t="shared" si="8"/>
        <v>240.77999999999986</v>
      </c>
      <c r="AE13" s="347">
        <f t="shared" si="8"/>
        <v>243.26999999999987</v>
      </c>
      <c r="AF13" s="348"/>
      <c r="AH13" s="316"/>
      <c r="AI13" s="316"/>
      <c r="AJ13" s="321" t="s">
        <v>384</v>
      </c>
      <c r="AK13" s="354">
        <f>AK11/AK5</f>
        <v>0.18348527407505899</v>
      </c>
      <c r="AL13" s="354">
        <f t="shared" ref="AL13:AP13" si="9">AL11/AL5</f>
        <v>0.40605283357424116</v>
      </c>
      <c r="AM13" s="354">
        <f t="shared" si="9"/>
        <v>0.17694531095755184</v>
      </c>
      <c r="AN13" s="354">
        <f t="shared" si="9"/>
        <v>0.22793248965373983</v>
      </c>
      <c r="AO13" s="354">
        <f t="shared" si="9"/>
        <v>0.22567142662033174</v>
      </c>
      <c r="AP13" s="354">
        <f t="shared" si="9"/>
        <v>0.22646044021415829</v>
      </c>
      <c r="AQ13" s="382">
        <f>AP13</f>
        <v>0.22646044021415829</v>
      </c>
    </row>
    <row r="14" spans="1:43" s="317" customFormat="1" ht="15" x14ac:dyDescent="0.15">
      <c r="A14" s="326" t="s">
        <v>387</v>
      </c>
      <c r="B14" s="327"/>
      <c r="C14" s="327"/>
      <c r="D14" s="327"/>
      <c r="E14" s="327"/>
      <c r="F14" s="327"/>
      <c r="G14" s="328"/>
      <c r="H14" s="329"/>
      <c r="I14" s="330">
        <f t="shared" ref="I14:AE14" si="10">(I13-H13)/H13</f>
        <v>1.4475271411339054E-2</v>
      </c>
      <c r="J14" s="330">
        <f t="shared" si="10"/>
        <v>7.9270709472849775E-3</v>
      </c>
      <c r="K14" s="330">
        <f t="shared" si="10"/>
        <v>2.7919779787652244E-2</v>
      </c>
      <c r="L14" s="330">
        <f t="shared" si="10"/>
        <v>6.5034429992350635E-3</v>
      </c>
      <c r="M14" s="330">
        <f t="shared" si="10"/>
        <v>-4.9410870391486551E-3</v>
      </c>
      <c r="N14" s="330">
        <f t="shared" si="10"/>
        <v>-0.11420932009167305</v>
      </c>
      <c r="O14" s="330">
        <f t="shared" si="10"/>
        <v>-0.18844329452350159</v>
      </c>
      <c r="P14" s="330">
        <f t="shared" si="10"/>
        <v>-0.23751328374070133</v>
      </c>
      <c r="Q14" s="330">
        <f t="shared" si="10"/>
        <v>-0.19372822299651565</v>
      </c>
      <c r="R14" s="330">
        <f t="shared" si="10"/>
        <v>0.54969749351771835</v>
      </c>
      <c r="S14" s="330">
        <f t="shared" si="10"/>
        <v>-0.50641383156720587</v>
      </c>
      <c r="T14" s="330">
        <f t="shared" si="10"/>
        <v>-8.022598870056491E-2</v>
      </c>
      <c r="U14" s="330">
        <f t="shared" si="10"/>
        <v>1.1081081081081079</v>
      </c>
      <c r="V14" s="330">
        <f t="shared" si="10"/>
        <v>0.72144522144522139</v>
      </c>
      <c r="W14" s="330">
        <f t="shared" si="10"/>
        <v>-6.9058903182125861E-2</v>
      </c>
      <c r="X14" s="330">
        <f t="shared" si="10"/>
        <v>-0.12327636363636388</v>
      </c>
      <c r="Y14" s="330">
        <f t="shared" si="10"/>
        <v>0.12028668721147832</v>
      </c>
      <c r="Z14" s="330">
        <f t="shared" si="10"/>
        <v>-1.9144761199556104E-2</v>
      </c>
      <c r="AA14" s="330">
        <f t="shared" si="10"/>
        <v>0.10846679676441587</v>
      </c>
      <c r="AB14" s="330">
        <f t="shared" si="10"/>
        <v>-0.18008615258883459</v>
      </c>
      <c r="AC14" s="330">
        <f t="shared" si="10"/>
        <v>1.0341390480936999E-2</v>
      </c>
      <c r="AD14" s="330">
        <f t="shared" si="10"/>
        <v>-1.023554075718342E-2</v>
      </c>
      <c r="AE14" s="330">
        <f t="shared" si="10"/>
        <v>1.0341390480936999E-2</v>
      </c>
      <c r="AF14" s="331"/>
      <c r="AH14" s="316"/>
      <c r="AI14" s="316"/>
      <c r="AJ14" s="316" t="s">
        <v>82</v>
      </c>
      <c r="AK14" s="325">
        <f>SUM(H13:K13)</f>
        <v>1016.6999999999999</v>
      </c>
      <c r="AL14" s="325">
        <f>SUM(L13:O13)</f>
        <v>945</v>
      </c>
      <c r="AM14" s="325">
        <f>SUM(P13:S13)</f>
        <v>527</v>
      </c>
      <c r="AN14" s="325">
        <f>SUM(T13:W13)</f>
        <v>823.4</v>
      </c>
      <c r="AO14" s="325">
        <f>SUM(X13:AA13)</f>
        <v>1069.7930000000001</v>
      </c>
      <c r="AP14" s="386">
        <f>AP5-AP10-AP11</f>
        <v>968.09999999999945</v>
      </c>
      <c r="AQ14" s="386">
        <f t="shared" ref="AQ14" si="11">AQ5-AQ10-AQ11</f>
        <v>968.09999999999945</v>
      </c>
    </row>
    <row r="15" spans="1:43" s="316" customFormat="1" x14ac:dyDescent="0.15">
      <c r="H15" s="219"/>
      <c r="I15" s="349"/>
      <c r="J15" s="349"/>
      <c r="K15" s="349"/>
      <c r="L15" s="349"/>
      <c r="M15" s="349"/>
      <c r="N15" s="349"/>
      <c r="O15" s="349"/>
      <c r="P15" s="349"/>
      <c r="Q15" s="349"/>
      <c r="R15" s="349"/>
      <c r="S15" s="350"/>
      <c r="T15" s="350"/>
      <c r="U15" s="349"/>
      <c r="V15" s="349"/>
      <c r="W15" s="349"/>
      <c r="X15" s="351"/>
      <c r="Y15" s="351"/>
      <c r="Z15" s="351"/>
      <c r="AA15" s="351"/>
      <c r="AB15" s="351"/>
      <c r="AC15" s="351"/>
      <c r="AD15" s="351"/>
      <c r="AE15" s="351"/>
      <c r="AF15" s="319"/>
      <c r="AJ15" s="316" t="s">
        <v>536</v>
      </c>
      <c r="AK15" s="325"/>
      <c r="AL15" s="354">
        <f>(AL14-AK14)/AK14</f>
        <v>-7.0522277958099677E-2</v>
      </c>
      <c r="AM15" s="354">
        <f>(AM14-AL14)/AL14</f>
        <v>-0.44232804232804235</v>
      </c>
      <c r="AN15" s="354">
        <f>(AN14-AM14)/AM14</f>
        <v>0.56242884250474379</v>
      </c>
      <c r="AO15" s="354">
        <f>(AO14-AN14)/AN14</f>
        <v>0.29923852319650251</v>
      </c>
      <c r="AP15" s="354">
        <f>(AP14-AO14)/AO14</f>
        <v>-9.5058576752699492E-2</v>
      </c>
      <c r="AQ15" s="354">
        <f t="shared" ref="AQ15" si="12">(AQ14-AP14)/AP14</f>
        <v>0</v>
      </c>
    </row>
    <row r="16" spans="1:43" s="316" customFormat="1" x14ac:dyDescent="0.15">
      <c r="A16" s="352" t="s">
        <v>380</v>
      </c>
      <c r="H16" s="219"/>
      <c r="I16" s="349"/>
      <c r="J16" s="349"/>
      <c r="K16" s="349"/>
      <c r="L16" s="349"/>
      <c r="M16" s="349"/>
      <c r="N16" s="349"/>
      <c r="O16" s="349"/>
      <c r="P16" s="349"/>
      <c r="Q16" s="349"/>
      <c r="R16" s="349"/>
      <c r="S16" s="350"/>
      <c r="T16" s="350"/>
      <c r="U16" s="349"/>
      <c r="V16" s="349"/>
      <c r="W16" s="349"/>
      <c r="X16" s="351"/>
      <c r="Y16" s="351"/>
      <c r="Z16" s="351"/>
      <c r="AA16" s="351"/>
      <c r="AB16" s="351"/>
      <c r="AC16" s="351"/>
      <c r="AD16" s="351"/>
      <c r="AE16" s="351"/>
      <c r="AF16" s="319"/>
      <c r="AJ16" s="312"/>
      <c r="AK16" s="313"/>
    </row>
    <row r="17" spans="1:43" s="316" customFormat="1" x14ac:dyDescent="0.15">
      <c r="A17" s="353" t="s">
        <v>381</v>
      </c>
      <c r="G17" s="321">
        <v>622.1</v>
      </c>
      <c r="H17" s="321">
        <v>641.6</v>
      </c>
      <c r="I17" s="325">
        <v>644.79999999999995</v>
      </c>
      <c r="J17" s="325">
        <v>648</v>
      </c>
      <c r="K17" s="325">
        <v>648</v>
      </c>
      <c r="L17" s="325">
        <v>666.2</v>
      </c>
      <c r="M17" s="325">
        <v>664.4</v>
      </c>
      <c r="N17" s="325">
        <v>646.70000000000005</v>
      </c>
      <c r="O17" s="325">
        <f>N17</f>
        <v>646.70000000000005</v>
      </c>
      <c r="P17" s="325">
        <v>672.9</v>
      </c>
      <c r="Q17" s="325">
        <v>672.2</v>
      </c>
      <c r="R17" s="325">
        <v>663.8</v>
      </c>
      <c r="S17" s="325">
        <v>682.9</v>
      </c>
      <c r="T17" s="325">
        <v>685.5</v>
      </c>
      <c r="U17" s="325">
        <v>706.5</v>
      </c>
      <c r="V17" s="325">
        <v>713.1</v>
      </c>
      <c r="W17" s="325">
        <v>732.9</v>
      </c>
      <c r="X17" s="324">
        <v>745</v>
      </c>
      <c r="Y17" s="324">
        <v>772.3</v>
      </c>
      <c r="Z17" s="324">
        <v>775</v>
      </c>
      <c r="AA17" s="324">
        <f>(AA20*AA22)/1000000</f>
        <v>775</v>
      </c>
      <c r="AB17" s="324">
        <f t="shared" ref="AB17:AE17" si="13">(AB20*AB22)/1000000</f>
        <v>775</v>
      </c>
      <c r="AC17" s="324">
        <f t="shared" si="13"/>
        <v>775</v>
      </c>
      <c r="AD17" s="324">
        <f t="shared" si="13"/>
        <v>775</v>
      </c>
      <c r="AE17" s="324">
        <f t="shared" si="13"/>
        <v>775</v>
      </c>
      <c r="AF17" s="319"/>
      <c r="AP17" s="379"/>
      <c r="AQ17" s="379"/>
    </row>
    <row r="18" spans="1:43" s="317" customFormat="1" ht="17" customHeight="1" outlineLevel="1" x14ac:dyDescent="0.15">
      <c r="A18" s="326" t="s">
        <v>387</v>
      </c>
      <c r="B18" s="327"/>
      <c r="C18" s="327"/>
      <c r="D18" s="327"/>
      <c r="E18" s="327"/>
      <c r="F18" s="327"/>
      <c r="G18" s="328"/>
      <c r="H18" s="329"/>
      <c r="I18" s="330">
        <f>(I17-H17)/H17</f>
        <v>4.9875311720697186E-3</v>
      </c>
      <c r="J18" s="330">
        <f t="shared" ref="J18:AE18" si="14">(J17-I17)/I17</f>
        <v>4.9627791563276145E-3</v>
      </c>
      <c r="K18" s="330">
        <f t="shared" si="14"/>
        <v>0</v>
      </c>
      <c r="L18" s="330">
        <f t="shared" si="14"/>
        <v>2.808641975308649E-2</v>
      </c>
      <c r="M18" s="330">
        <f t="shared" si="14"/>
        <v>-2.7018913239268507E-3</v>
      </c>
      <c r="N18" s="330">
        <f t="shared" si="14"/>
        <v>-2.6640577965081173E-2</v>
      </c>
      <c r="O18" s="330">
        <f t="shared" si="14"/>
        <v>0</v>
      </c>
      <c r="P18" s="330">
        <f t="shared" si="14"/>
        <v>4.0513375599195808E-2</v>
      </c>
      <c r="Q18" s="330">
        <f t="shared" si="14"/>
        <v>-1.040273443304996E-3</v>
      </c>
      <c r="R18" s="330">
        <f t="shared" si="14"/>
        <v>-1.2496280868789185E-2</v>
      </c>
      <c r="S18" s="330">
        <f t="shared" si="14"/>
        <v>2.877372702621275E-2</v>
      </c>
      <c r="T18" s="330">
        <f t="shared" si="14"/>
        <v>3.8072924293454718E-3</v>
      </c>
      <c r="U18" s="330">
        <f t="shared" si="14"/>
        <v>3.0634573304157548E-2</v>
      </c>
      <c r="V18" s="330">
        <f t="shared" si="14"/>
        <v>9.3418259023354891E-3</v>
      </c>
      <c r="W18" s="330">
        <f t="shared" si="14"/>
        <v>2.7766091712242258E-2</v>
      </c>
      <c r="X18" s="330">
        <f t="shared" si="14"/>
        <v>1.6509755764770123E-2</v>
      </c>
      <c r="Y18" s="330">
        <f t="shared" si="14"/>
        <v>3.6644295302013359E-2</v>
      </c>
      <c r="Z18" s="330">
        <f t="shared" si="14"/>
        <v>3.496050757477723E-3</v>
      </c>
      <c r="AA18" s="330">
        <f t="shared" si="14"/>
        <v>0</v>
      </c>
      <c r="AB18" s="330">
        <f t="shared" si="14"/>
        <v>0</v>
      </c>
      <c r="AC18" s="330">
        <f t="shared" si="14"/>
        <v>0</v>
      </c>
      <c r="AD18" s="330">
        <f t="shared" si="14"/>
        <v>0</v>
      </c>
      <c r="AE18" s="330">
        <f t="shared" si="14"/>
        <v>0</v>
      </c>
      <c r="AF18" s="331"/>
      <c r="AH18" s="316"/>
      <c r="AI18" s="316"/>
      <c r="AJ18" s="316"/>
      <c r="AK18" s="316"/>
      <c r="AL18" s="316"/>
      <c r="AM18" s="316"/>
      <c r="AN18" s="316"/>
      <c r="AO18" s="316"/>
      <c r="AP18" s="316"/>
      <c r="AQ18" s="316"/>
    </row>
    <row r="19" spans="1:43" s="316" customFormat="1" outlineLevel="1" x14ac:dyDescent="0.15">
      <c r="A19" s="353" t="s">
        <v>533</v>
      </c>
      <c r="G19" s="321"/>
      <c r="H19" s="332">
        <f t="shared" ref="H19:AE19" si="15">H17/H5</f>
        <v>0.42719222318396699</v>
      </c>
      <c r="I19" s="354">
        <f t="shared" si="15"/>
        <v>0.4285809238949817</v>
      </c>
      <c r="J19" s="354">
        <f t="shared" si="15"/>
        <v>0.43145349224315865</v>
      </c>
      <c r="K19" s="355">
        <f t="shared" si="15"/>
        <v>0.42962275409401313</v>
      </c>
      <c r="L19" s="354">
        <f t="shared" si="15"/>
        <v>0.43608038227400669</v>
      </c>
      <c r="M19" s="354">
        <f t="shared" si="15"/>
        <v>0.43633020292900765</v>
      </c>
      <c r="N19" s="354">
        <f t="shared" si="15"/>
        <v>0.43595793447485509</v>
      </c>
      <c r="O19" s="354">
        <f t="shared" si="15"/>
        <v>0.43545889165712753</v>
      </c>
      <c r="P19" s="354">
        <f t="shared" si="15"/>
        <v>0.44101454974439636</v>
      </c>
      <c r="Q19" s="354">
        <f t="shared" si="15"/>
        <v>0.44162669995401094</v>
      </c>
      <c r="R19" s="354">
        <f t="shared" si="15"/>
        <v>0.44229744136460553</v>
      </c>
      <c r="S19" s="354">
        <f t="shared" si="15"/>
        <v>0.44654417053553913</v>
      </c>
      <c r="T19" s="354">
        <f t="shared" si="15"/>
        <v>0.44371804000258913</v>
      </c>
      <c r="U19" s="354">
        <f t="shared" si="15"/>
        <v>0.44934172867773325</v>
      </c>
      <c r="V19" s="354">
        <f t="shared" si="15"/>
        <v>0.45723262374967943</v>
      </c>
      <c r="W19" s="354">
        <f t="shared" si="15"/>
        <v>0.46342080303509325</v>
      </c>
      <c r="X19" s="354">
        <f t="shared" si="15"/>
        <v>0.46284791252485091</v>
      </c>
      <c r="Y19" s="354">
        <f t="shared" si="15"/>
        <v>0.47051297672718406</v>
      </c>
      <c r="Z19" s="354">
        <f t="shared" si="15"/>
        <v>0.46751523194787958</v>
      </c>
      <c r="AA19" s="354">
        <f t="shared" si="15"/>
        <v>0.46103509815585964</v>
      </c>
      <c r="AB19" s="354">
        <f t="shared" si="15"/>
        <v>0.46103509815585964</v>
      </c>
      <c r="AC19" s="354">
        <f t="shared" si="15"/>
        <v>0.46103509815585964</v>
      </c>
      <c r="AD19" s="354">
        <f t="shared" si="15"/>
        <v>0.46103509815585964</v>
      </c>
      <c r="AE19" s="354">
        <f t="shared" si="15"/>
        <v>0.46103509815585964</v>
      </c>
      <c r="AF19" s="319"/>
      <c r="AN19" s="317"/>
      <c r="AO19" s="317"/>
      <c r="AP19" s="317"/>
      <c r="AQ19" s="317"/>
    </row>
    <row r="20" spans="1:43" s="316" customFormat="1" ht="15" outlineLevel="1" x14ac:dyDescent="0.15">
      <c r="A20" s="326" t="s">
        <v>532</v>
      </c>
      <c r="G20" s="321"/>
      <c r="H20" s="332"/>
      <c r="I20" s="354"/>
      <c r="J20" s="354"/>
      <c r="K20" s="355"/>
      <c r="L20" s="354"/>
      <c r="M20" s="354"/>
      <c r="N20" s="354"/>
      <c r="O20" s="354"/>
      <c r="P20" s="354"/>
      <c r="Q20" s="354"/>
      <c r="R20" s="354"/>
      <c r="S20" s="354"/>
      <c r="T20" s="354"/>
      <c r="U20" s="354"/>
      <c r="V20" s="354"/>
      <c r="W20" s="354"/>
      <c r="X20" s="356">
        <f>X7*X19</f>
        <v>17588220.675944336</v>
      </c>
      <c r="Y20" s="356">
        <f>Y7*Y19</f>
        <v>17879493.115632996</v>
      </c>
      <c r="Z20" s="356">
        <f>Z7*Z19</f>
        <v>17765578.814019423</v>
      </c>
      <c r="AA20" s="357">
        <f>Z20*(1+AA21)</f>
        <v>17765578.814019423</v>
      </c>
      <c r="AB20" s="357">
        <f t="shared" ref="AB20:AE20" si="16">AA20*(1+AB21)</f>
        <v>17765578.814019423</v>
      </c>
      <c r="AC20" s="357">
        <f t="shared" si="16"/>
        <v>17765578.814019423</v>
      </c>
      <c r="AD20" s="357">
        <f t="shared" si="16"/>
        <v>17765578.814019423</v>
      </c>
      <c r="AE20" s="357">
        <f t="shared" si="16"/>
        <v>17765578.814019423</v>
      </c>
      <c r="AF20" s="319"/>
      <c r="AP20" s="332"/>
    </row>
    <row r="21" spans="1:43" s="317" customFormat="1" ht="17" customHeight="1" outlineLevel="1" x14ac:dyDescent="0.15">
      <c r="A21" s="358" t="s">
        <v>387</v>
      </c>
      <c r="B21" s="327"/>
      <c r="C21" s="327"/>
      <c r="D21" s="327"/>
      <c r="E21" s="327"/>
      <c r="F21" s="327"/>
      <c r="G21" s="328"/>
      <c r="H21" s="329"/>
      <c r="I21" s="330"/>
      <c r="J21" s="330"/>
      <c r="K21" s="359"/>
      <c r="L21" s="330"/>
      <c r="M21" s="330"/>
      <c r="N21" s="330"/>
      <c r="O21" s="330"/>
      <c r="P21" s="330"/>
      <c r="Q21" s="330"/>
      <c r="R21" s="330"/>
      <c r="S21" s="330"/>
      <c r="T21" s="330"/>
      <c r="U21" s="330"/>
      <c r="V21" s="330"/>
      <c r="W21" s="330"/>
      <c r="X21" s="360"/>
      <c r="Y21" s="361">
        <f>(Y20-X20)/X20</f>
        <v>1.6560654147752294E-2</v>
      </c>
      <c r="Z21" s="361">
        <f t="shared" ref="Z21" si="17">(Z20-Y20)/Y20</f>
        <v>-6.3712265709575189E-3</v>
      </c>
      <c r="AA21" s="362">
        <v>0</v>
      </c>
      <c r="AB21" s="362">
        <v>0</v>
      </c>
      <c r="AC21" s="362">
        <v>0</v>
      </c>
      <c r="AD21" s="362">
        <v>0</v>
      </c>
      <c r="AE21" s="362">
        <v>0</v>
      </c>
      <c r="AF21" s="331"/>
      <c r="AH21" s="316"/>
      <c r="AI21" s="316"/>
      <c r="AJ21" s="316"/>
      <c r="AK21" s="316"/>
      <c r="AL21" s="316"/>
      <c r="AM21" s="316"/>
      <c r="AN21" s="316"/>
      <c r="AO21" s="316"/>
      <c r="AP21" s="332"/>
      <c r="AQ21" s="316"/>
    </row>
    <row r="22" spans="1:43" s="316" customFormat="1" ht="30" outlineLevel="1" x14ac:dyDescent="0.15">
      <c r="A22" s="326" t="s">
        <v>534</v>
      </c>
      <c r="G22" s="321"/>
      <c r="H22" s="332"/>
      <c r="I22" s="354"/>
      <c r="J22" s="354"/>
      <c r="K22" s="355"/>
      <c r="L22" s="354"/>
      <c r="M22" s="354"/>
      <c r="N22" s="354"/>
      <c r="O22" s="354"/>
      <c r="P22" s="354"/>
      <c r="Q22" s="354"/>
      <c r="R22" s="354"/>
      <c r="S22" s="354"/>
      <c r="T22" s="354"/>
      <c r="U22" s="354"/>
      <c r="V22" s="354"/>
      <c r="W22" s="354"/>
      <c r="X22" s="363">
        <f>(X17*1000000)/X20</f>
        <v>42.357894736842098</v>
      </c>
      <c r="Y22" s="363">
        <f t="shared" ref="Y22:Z22" si="18">(Y17*1000000)/Y20</f>
        <v>43.194736842105264</v>
      </c>
      <c r="Z22" s="363">
        <f t="shared" si="18"/>
        <v>43.623684210526321</v>
      </c>
      <c r="AA22" s="364">
        <f>Z22*(1+AA23)</f>
        <v>43.623684210526321</v>
      </c>
      <c r="AB22" s="364">
        <f t="shared" ref="AB22:AE22" si="19">AA22*(1+AB23)</f>
        <v>43.623684210526321</v>
      </c>
      <c r="AC22" s="364">
        <f t="shared" si="19"/>
        <v>43.623684210526321</v>
      </c>
      <c r="AD22" s="364">
        <f t="shared" si="19"/>
        <v>43.623684210526321</v>
      </c>
      <c r="AE22" s="364">
        <f t="shared" si="19"/>
        <v>43.623684210526321</v>
      </c>
      <c r="AF22" s="319"/>
      <c r="AN22" s="317"/>
      <c r="AO22" s="317"/>
      <c r="AP22" s="317"/>
      <c r="AQ22" s="317"/>
    </row>
    <row r="23" spans="1:43" s="317" customFormat="1" ht="17" customHeight="1" outlineLevel="1" x14ac:dyDescent="0.15">
      <c r="A23" s="358" t="s">
        <v>387</v>
      </c>
      <c r="B23" s="327"/>
      <c r="C23" s="327"/>
      <c r="D23" s="327"/>
      <c r="E23" s="327"/>
      <c r="F23" s="327"/>
      <c r="G23" s="328"/>
      <c r="H23" s="329"/>
      <c r="I23" s="330"/>
      <c r="J23" s="330"/>
      <c r="K23" s="359"/>
      <c r="L23" s="330"/>
      <c r="M23" s="330"/>
      <c r="N23" s="330"/>
      <c r="O23" s="330"/>
      <c r="P23" s="330"/>
      <c r="Q23" s="330"/>
      <c r="R23" s="330"/>
      <c r="S23" s="330"/>
      <c r="T23" s="330"/>
      <c r="U23" s="330"/>
      <c r="V23" s="330"/>
      <c r="W23" s="330"/>
      <c r="X23" s="360"/>
      <c r="Y23" s="361">
        <f>(Y22-X22)/X22</f>
        <v>1.975646123260457E-2</v>
      </c>
      <c r="Z23" s="361">
        <f t="shared" ref="Z23" si="20">(Z22-Y22)/Y22</f>
        <v>9.9305470939442791E-3</v>
      </c>
      <c r="AA23" s="362">
        <v>0</v>
      </c>
      <c r="AB23" s="365">
        <v>0</v>
      </c>
      <c r="AC23" s="365">
        <v>0</v>
      </c>
      <c r="AD23" s="365">
        <v>0</v>
      </c>
      <c r="AE23" s="365">
        <v>0</v>
      </c>
      <c r="AF23" s="331"/>
      <c r="AH23" s="316"/>
      <c r="AI23" s="316"/>
      <c r="AJ23" s="316"/>
      <c r="AK23" s="316"/>
      <c r="AL23" s="316"/>
      <c r="AM23" s="316"/>
      <c r="AN23" s="316"/>
      <c r="AO23" s="316"/>
      <c r="AP23" s="332"/>
      <c r="AQ23" s="316"/>
    </row>
    <row r="24" spans="1:43" s="316" customFormat="1" x14ac:dyDescent="0.15">
      <c r="A24" s="353" t="s">
        <v>382</v>
      </c>
      <c r="G24" s="321">
        <v>473.9</v>
      </c>
      <c r="H24" s="321">
        <v>479.27520000000004</v>
      </c>
      <c r="I24" s="325">
        <v>481.66559999999998</v>
      </c>
      <c r="J24" s="325">
        <v>480.81599999999997</v>
      </c>
      <c r="K24" s="325">
        <v>481</v>
      </c>
      <c r="L24" s="325">
        <v>487.65840000000003</v>
      </c>
      <c r="M24" s="325">
        <v>483.68319999999994</v>
      </c>
      <c r="N24" s="325">
        <v>479.2047</v>
      </c>
      <c r="O24" s="325">
        <f>N24</f>
        <v>479.2047</v>
      </c>
      <c r="P24" s="325">
        <v>503.32919999999996</v>
      </c>
      <c r="Q24" s="325">
        <v>502.13340000000005</v>
      </c>
      <c r="R24" s="325">
        <v>523.73820000000001</v>
      </c>
      <c r="S24" s="325">
        <v>534.71069999999997</v>
      </c>
      <c r="T24" s="325">
        <v>505.899</v>
      </c>
      <c r="U24" s="325">
        <v>469.11600000000004</v>
      </c>
      <c r="V24" s="325">
        <v>447.11369999999999</v>
      </c>
      <c r="W24" s="325">
        <v>469.7888999999999</v>
      </c>
      <c r="X24" s="324">
        <v>480</v>
      </c>
      <c r="Y24" s="324">
        <v>482</v>
      </c>
      <c r="Z24" s="324">
        <v>483</v>
      </c>
      <c r="AA24" s="324">
        <f>(AA25*AA20)/1000000</f>
        <v>483</v>
      </c>
      <c r="AB24" s="324">
        <f>(AB25*AB20)/1000000</f>
        <v>507.15</v>
      </c>
      <c r="AC24" s="324">
        <f t="shared" ref="AC24:AE24" si="21">(AC25*AC20)/1000000</f>
        <v>507.15</v>
      </c>
      <c r="AD24" s="324">
        <f t="shared" si="21"/>
        <v>507.15</v>
      </c>
      <c r="AE24" s="324">
        <f t="shared" si="21"/>
        <v>507.15</v>
      </c>
      <c r="AF24" s="319"/>
      <c r="AN24" s="317"/>
      <c r="AO24" s="317"/>
      <c r="AP24" s="317"/>
      <c r="AQ24" s="317"/>
    </row>
    <row r="25" spans="1:43" s="316" customFormat="1" outlineLevel="1" x14ac:dyDescent="0.15">
      <c r="A25" s="366" t="s">
        <v>541</v>
      </c>
      <c r="G25" s="321"/>
      <c r="H25" s="321"/>
      <c r="I25" s="325"/>
      <c r="J25" s="325"/>
      <c r="K25" s="325"/>
      <c r="L25" s="325"/>
      <c r="M25" s="325"/>
      <c r="N25" s="325"/>
      <c r="O25" s="325"/>
      <c r="P25" s="325"/>
      <c r="Q25" s="325"/>
      <c r="R25" s="325"/>
      <c r="S25" s="325"/>
      <c r="T25" s="325"/>
      <c r="U25" s="325"/>
      <c r="V25" s="325"/>
      <c r="W25" s="325"/>
      <c r="X25" s="378">
        <f>(X24*1000000)/X20</f>
        <v>27.290992582126453</v>
      </c>
      <c r="Y25" s="378">
        <f t="shared" ref="Y25:Z25" si="22">(Y24*1000000)/Y20</f>
        <v>26.958258653236744</v>
      </c>
      <c r="Z25" s="378">
        <f t="shared" si="22"/>
        <v>27.187405772495758</v>
      </c>
      <c r="AA25" s="367">
        <f>Z25*(1+AA26)</f>
        <v>27.187405772495758</v>
      </c>
      <c r="AB25" s="367">
        <f t="shared" ref="AB25:AE25" si="23">AA25*(1+AB26)</f>
        <v>28.546776061120546</v>
      </c>
      <c r="AC25" s="367">
        <f t="shared" si="23"/>
        <v>28.546776061120546</v>
      </c>
      <c r="AD25" s="367">
        <f t="shared" si="23"/>
        <v>28.546776061120546</v>
      </c>
      <c r="AE25" s="367">
        <f t="shared" si="23"/>
        <v>28.546776061120546</v>
      </c>
      <c r="AF25" s="319"/>
    </row>
    <row r="26" spans="1:43" s="316" customFormat="1" ht="15" outlineLevel="1" x14ac:dyDescent="0.15">
      <c r="A26" s="358" t="s">
        <v>387</v>
      </c>
      <c r="G26" s="321"/>
      <c r="H26" s="321"/>
      <c r="I26" s="325"/>
      <c r="J26" s="325"/>
      <c r="K26" s="325"/>
      <c r="L26" s="325"/>
      <c r="M26" s="325"/>
      <c r="N26" s="325"/>
      <c r="O26" s="325"/>
      <c r="P26" s="325"/>
      <c r="Q26" s="325"/>
      <c r="R26" s="325"/>
      <c r="S26" s="325"/>
      <c r="T26" s="325"/>
      <c r="U26" s="325"/>
      <c r="V26" s="325"/>
      <c r="W26" s="325"/>
      <c r="X26" s="324"/>
      <c r="Y26" s="361">
        <f>(Y25-X25)/X25</f>
        <v>-1.2192078682679538E-2</v>
      </c>
      <c r="Z26" s="361">
        <f t="shared" ref="Z26" si="24">(Z25-Y25)/Y25</f>
        <v>8.5000712474246499E-3</v>
      </c>
      <c r="AA26" s="362">
        <v>0</v>
      </c>
      <c r="AB26" s="362">
        <v>0.05</v>
      </c>
      <c r="AC26" s="362">
        <v>0</v>
      </c>
      <c r="AD26" s="362">
        <v>0</v>
      </c>
      <c r="AE26" s="362">
        <v>0</v>
      </c>
      <c r="AF26" s="319"/>
    </row>
    <row r="27" spans="1:43" s="316" customFormat="1" x14ac:dyDescent="0.15">
      <c r="A27" s="353" t="s">
        <v>383</v>
      </c>
      <c r="G27" s="321">
        <v>153.03659999999999</v>
      </c>
      <c r="H27" s="321">
        <v>161.6832</v>
      </c>
      <c r="I27" s="325">
        <v>164.42399999999998</v>
      </c>
      <c r="J27" s="325">
        <v>167.83199999999999</v>
      </c>
      <c r="K27" s="325">
        <v>168</v>
      </c>
      <c r="L27" s="325">
        <v>183.87120000000002</v>
      </c>
      <c r="M27" s="325">
        <v>185.36759999999998</v>
      </c>
      <c r="N27" s="325">
        <v>189.48310000000001</v>
      </c>
      <c r="O27" s="325">
        <f>N27</f>
        <v>189.48310000000001</v>
      </c>
      <c r="P27" s="325">
        <v>139.9632</v>
      </c>
      <c r="Q27" s="325">
        <v>192.92140000000001</v>
      </c>
      <c r="R27" s="325">
        <v>186.52780000000001</v>
      </c>
      <c r="S27" s="325">
        <v>204.18709999999999</v>
      </c>
      <c r="T27" s="325">
        <v>147.38249999999999</v>
      </c>
      <c r="U27" s="325">
        <v>213.363</v>
      </c>
      <c r="V27" s="325">
        <v>217.49549999999999</v>
      </c>
      <c r="W27" s="325">
        <v>217.67129999999997</v>
      </c>
      <c r="X27" s="324">
        <f>X17*X28</f>
        <v>212.32499999999999</v>
      </c>
      <c r="Y27" s="324">
        <f>Y17*Y28</f>
        <v>220.10549999999998</v>
      </c>
      <c r="Z27" s="324">
        <f>Z17*Z28</f>
        <v>232.5</v>
      </c>
      <c r="AA27" s="324">
        <f>AA17*AA28</f>
        <v>232.5</v>
      </c>
      <c r="AB27" s="324">
        <f>AB17*AB28</f>
        <v>232.5</v>
      </c>
      <c r="AC27" s="324">
        <f t="shared" ref="AC27:AE27" si="25">AC17*AC28</f>
        <v>232.5</v>
      </c>
      <c r="AD27" s="324">
        <f t="shared" si="25"/>
        <v>232.5</v>
      </c>
      <c r="AE27" s="324">
        <f t="shared" si="25"/>
        <v>232.5</v>
      </c>
      <c r="AF27" s="319"/>
    </row>
    <row r="28" spans="1:43" s="316" customFormat="1" x14ac:dyDescent="0.15">
      <c r="A28" s="353" t="s">
        <v>384</v>
      </c>
      <c r="G28" s="332">
        <v>0.246</v>
      </c>
      <c r="H28" s="332">
        <v>0.252</v>
      </c>
      <c r="I28" s="354">
        <v>0.255</v>
      </c>
      <c r="J28" s="354">
        <v>0.25900000000000001</v>
      </c>
      <c r="K28" s="355">
        <v>0.27100000000000002</v>
      </c>
      <c r="L28" s="354">
        <v>0.27600000000000002</v>
      </c>
      <c r="M28" s="354">
        <v>0.27899999999999997</v>
      </c>
      <c r="N28" s="354">
        <v>0.29299999999999998</v>
      </c>
      <c r="O28" s="354">
        <f>O27/O17</f>
        <v>0.29299999999999998</v>
      </c>
      <c r="P28" s="354">
        <v>0.20800000000000002</v>
      </c>
      <c r="Q28" s="354">
        <v>0.28699999999999998</v>
      </c>
      <c r="R28" s="354">
        <v>0.28100000000000003</v>
      </c>
      <c r="S28" s="354">
        <v>0.29899999999999999</v>
      </c>
      <c r="T28" s="354">
        <v>0.215</v>
      </c>
      <c r="U28" s="354">
        <v>0.30199999999999999</v>
      </c>
      <c r="V28" s="354">
        <v>0.30499999999999999</v>
      </c>
      <c r="W28" s="354">
        <v>0.29699999999999999</v>
      </c>
      <c r="X28" s="300">
        <v>0.28499999999999998</v>
      </c>
      <c r="Y28" s="300">
        <v>0.28499999999999998</v>
      </c>
      <c r="Z28" s="300">
        <v>0.3</v>
      </c>
      <c r="AA28" s="368">
        <v>0.3</v>
      </c>
      <c r="AB28" s="369">
        <f>AA28</f>
        <v>0.3</v>
      </c>
      <c r="AC28" s="369">
        <f>AB28</f>
        <v>0.3</v>
      </c>
      <c r="AD28" s="369">
        <f t="shared" ref="AD28:AE28" si="26">AC28</f>
        <v>0.3</v>
      </c>
      <c r="AE28" s="369">
        <f t="shared" si="26"/>
        <v>0.3</v>
      </c>
      <c r="AF28" s="319"/>
    </row>
    <row r="29" spans="1:43" s="316" customFormat="1" x14ac:dyDescent="0.15">
      <c r="A29" s="353" t="s">
        <v>273</v>
      </c>
      <c r="G29" s="332">
        <v>0.76200000000000001</v>
      </c>
      <c r="H29" s="332">
        <v>0.747</v>
      </c>
      <c r="I29" s="354">
        <v>0.747</v>
      </c>
      <c r="J29" s="354">
        <v>0.74199999999999999</v>
      </c>
      <c r="K29" s="355">
        <v>0.74</v>
      </c>
      <c r="L29" s="354">
        <v>0.73199999999999998</v>
      </c>
      <c r="M29" s="354">
        <v>0.72799999999999998</v>
      </c>
      <c r="N29" s="354">
        <v>0.74099999999999999</v>
      </c>
      <c r="O29" s="354">
        <v>0</v>
      </c>
      <c r="P29" s="354">
        <v>0.748</v>
      </c>
      <c r="Q29" s="354">
        <v>0.747</v>
      </c>
      <c r="R29" s="354">
        <v>0.78900000000000003</v>
      </c>
      <c r="S29" s="354">
        <v>0.78299999999999992</v>
      </c>
      <c r="T29" s="354">
        <v>0.73799999999999999</v>
      </c>
      <c r="U29" s="354">
        <v>0.66400000000000003</v>
      </c>
      <c r="V29" s="354">
        <v>0.627</v>
      </c>
      <c r="W29" s="354">
        <v>0.6409999999999999</v>
      </c>
      <c r="X29" s="300">
        <v>0.57499999999999996</v>
      </c>
      <c r="Y29" s="300">
        <v>0.57499999999999996</v>
      </c>
      <c r="Z29" s="300">
        <v>0.57499999999999996</v>
      </c>
      <c r="AA29" s="370">
        <f>AA24/AA17</f>
        <v>0.62322580645161285</v>
      </c>
      <c r="AB29" s="370">
        <f t="shared" ref="AB29:AE29" si="27">AB24/AB17</f>
        <v>0.65438709677419349</v>
      </c>
      <c r="AC29" s="370">
        <f t="shared" si="27"/>
        <v>0.65438709677419349</v>
      </c>
      <c r="AD29" s="370">
        <f t="shared" si="27"/>
        <v>0.65438709677419349</v>
      </c>
      <c r="AE29" s="370">
        <f t="shared" si="27"/>
        <v>0.65438709677419349</v>
      </c>
      <c r="AF29" s="319"/>
    </row>
    <row r="30" spans="1:43" s="316" customFormat="1" x14ac:dyDescent="0.15">
      <c r="A30" s="353" t="s">
        <v>82</v>
      </c>
      <c r="G30" s="332"/>
      <c r="H30" s="371">
        <v>0.64159999999998263</v>
      </c>
      <c r="I30" s="372">
        <v>-1.2896000000000072</v>
      </c>
      <c r="J30" s="372">
        <v>-0.64799999999996771</v>
      </c>
      <c r="K30" s="373">
        <f>K17-K24-K27</f>
        <v>-1</v>
      </c>
      <c r="L30" s="372">
        <f>L17-L24-L27</f>
        <v>-5.3295999999999992</v>
      </c>
      <c r="M30" s="372">
        <f>M17-M24-M27</f>
        <v>-4.650799999999947</v>
      </c>
      <c r="N30" s="372">
        <f>N17-N24-N27</f>
        <v>-21.987799999999964</v>
      </c>
      <c r="O30" s="372">
        <f>O17-O24-O27</f>
        <v>-21.987799999999964</v>
      </c>
      <c r="P30" s="372">
        <v>29.607600000000019</v>
      </c>
      <c r="Q30" s="372">
        <v>-22.854800000000012</v>
      </c>
      <c r="R30" s="372">
        <v>-46.466000000000065</v>
      </c>
      <c r="S30" s="372">
        <v>-55.997799999999984</v>
      </c>
      <c r="T30" s="372">
        <v>32.218500000000006</v>
      </c>
      <c r="U30" s="372">
        <v>24.020999999999958</v>
      </c>
      <c r="V30" s="372">
        <v>48.490800000000036</v>
      </c>
      <c r="W30" s="372">
        <v>45.439800000000105</v>
      </c>
      <c r="X30" s="374">
        <f t="shared" ref="X30:AE30" si="28">X17-X24-X27</f>
        <v>52.675000000000011</v>
      </c>
      <c r="Y30" s="374">
        <f t="shared" si="28"/>
        <v>70.194499999999977</v>
      </c>
      <c r="Z30" s="374">
        <f t="shared" si="28"/>
        <v>59.5</v>
      </c>
      <c r="AA30" s="324">
        <f t="shared" si="28"/>
        <v>59.5</v>
      </c>
      <c r="AB30" s="374">
        <f t="shared" si="28"/>
        <v>35.350000000000023</v>
      </c>
      <c r="AC30" s="374">
        <f t="shared" si="28"/>
        <v>35.350000000000023</v>
      </c>
      <c r="AD30" s="374">
        <f t="shared" si="28"/>
        <v>35.350000000000023</v>
      </c>
      <c r="AE30" s="374">
        <f t="shared" si="28"/>
        <v>35.350000000000023</v>
      </c>
      <c r="AF30" s="319"/>
    </row>
    <row r="31" spans="1:43" s="316" customFormat="1" x14ac:dyDescent="0.15">
      <c r="A31" s="353" t="s">
        <v>385</v>
      </c>
      <c r="G31" s="332"/>
      <c r="H31" s="332">
        <v>2.5798150381985633E-3</v>
      </c>
      <c r="I31" s="354">
        <v>-5.111375346809382E-3</v>
      </c>
      <c r="J31" s="354">
        <v>-2.5481714510419491E-3</v>
      </c>
      <c r="K31" s="355">
        <v>0</v>
      </c>
      <c r="L31" s="354">
        <v>-2.0256936526035722E-2</v>
      </c>
      <c r="M31" s="354">
        <v>-1.7764705882352738E-2</v>
      </c>
      <c r="N31" s="354">
        <v>-9.4815868909012349E-2</v>
      </c>
      <c r="O31" s="354">
        <v>0</v>
      </c>
      <c r="P31" s="354">
        <v>0.20632473867595832</v>
      </c>
      <c r="Q31" s="354">
        <v>-0.19753500432152127</v>
      </c>
      <c r="R31" s="354">
        <v>-0.25915225878416098</v>
      </c>
      <c r="S31" s="354">
        <v>-0.63274350282485858</v>
      </c>
      <c r="T31" s="354">
        <v>0.39580466830466837</v>
      </c>
      <c r="U31" s="354">
        <v>0.13998251748251725</v>
      </c>
      <c r="V31" s="354">
        <v>0.16415301286391348</v>
      </c>
      <c r="W31" s="354">
        <v>0.16523563636363675</v>
      </c>
      <c r="X31" s="300">
        <f>X30/X13</f>
        <v>0.21847871621201259</v>
      </c>
      <c r="Y31" s="300">
        <f t="shared" ref="Y31:AE31" si="29">Y30/Y13</f>
        <v>0.25988337652721194</v>
      </c>
      <c r="Z31" s="300">
        <f t="shared" si="29"/>
        <v>0.2245884746479245</v>
      </c>
      <c r="AA31" s="300">
        <f t="shared" si="29"/>
        <v>0.20261181959034957</v>
      </c>
      <c r="AB31" s="300">
        <f t="shared" si="29"/>
        <v>0.14681451947836216</v>
      </c>
      <c r="AC31" s="300">
        <f t="shared" si="29"/>
        <v>0.14531179348049508</v>
      </c>
      <c r="AD31" s="300">
        <f t="shared" si="29"/>
        <v>0.14681451947836216</v>
      </c>
      <c r="AE31" s="300">
        <f t="shared" si="29"/>
        <v>0.14531179348049508</v>
      </c>
      <c r="AF31" s="319"/>
    </row>
    <row r="32" spans="1:43" s="316" customFormat="1" x14ac:dyDescent="0.15">
      <c r="A32" s="353"/>
      <c r="G32" s="332"/>
      <c r="I32" s="354"/>
      <c r="J32" s="354"/>
      <c r="K32" s="355"/>
      <c r="L32" s="354"/>
      <c r="M32" s="354"/>
      <c r="N32" s="354"/>
      <c r="O32" s="354"/>
      <c r="P32" s="354"/>
      <c r="Q32" s="354"/>
      <c r="R32" s="354"/>
      <c r="S32" s="354"/>
      <c r="T32" s="354"/>
      <c r="U32" s="354"/>
      <c r="V32" s="354"/>
      <c r="W32" s="354"/>
      <c r="X32" s="375"/>
      <c r="Y32" s="375"/>
      <c r="Z32" s="375"/>
      <c r="AA32" s="376"/>
      <c r="AB32" s="375"/>
      <c r="AC32" s="375"/>
      <c r="AD32" s="375"/>
      <c r="AE32" s="376"/>
      <c r="AF32" s="319"/>
    </row>
    <row r="33" spans="1:43" s="316" customFormat="1" x14ac:dyDescent="0.15">
      <c r="A33" s="352" t="s">
        <v>386</v>
      </c>
      <c r="I33" s="319"/>
      <c r="J33" s="319"/>
      <c r="K33" s="319"/>
      <c r="L33" s="319"/>
      <c r="M33" s="319"/>
      <c r="N33" s="319"/>
      <c r="O33" s="319"/>
      <c r="P33" s="319"/>
      <c r="Q33" s="319"/>
      <c r="R33" s="319"/>
      <c r="S33" s="319"/>
      <c r="T33" s="319"/>
      <c r="U33" s="319"/>
      <c r="V33" s="319"/>
      <c r="W33" s="319"/>
      <c r="X33" s="375"/>
      <c r="Y33" s="375"/>
      <c r="Z33" s="375"/>
      <c r="AA33" s="376"/>
      <c r="AB33" s="375"/>
      <c r="AC33" s="375"/>
      <c r="AD33" s="375"/>
      <c r="AE33" s="376"/>
      <c r="AF33" s="319"/>
    </row>
    <row r="34" spans="1:43" s="316" customFormat="1" x14ac:dyDescent="0.15">
      <c r="A34" s="353" t="s">
        <v>381</v>
      </c>
      <c r="H34" s="321">
        <v>404.9</v>
      </c>
      <c r="I34" s="325">
        <v>398</v>
      </c>
      <c r="J34" s="325">
        <v>397.4</v>
      </c>
      <c r="K34" s="325">
        <v>396.7</v>
      </c>
      <c r="L34" s="325">
        <v>405.3</v>
      </c>
      <c r="M34" s="325">
        <v>401.8</v>
      </c>
      <c r="N34" s="325">
        <v>390.7</v>
      </c>
      <c r="O34" s="325">
        <v>389</v>
      </c>
      <c r="P34" s="325">
        <v>401.5</v>
      </c>
      <c r="Q34" s="325">
        <v>393.3</v>
      </c>
      <c r="R34" s="325">
        <v>393.2</v>
      </c>
      <c r="S34" s="325">
        <v>391.2</v>
      </c>
      <c r="T34" s="325">
        <v>402.8</v>
      </c>
      <c r="U34" s="325">
        <v>401.1</v>
      </c>
      <c r="V34" s="325">
        <v>382.2</v>
      </c>
      <c r="W34" s="325">
        <v>385.4</v>
      </c>
      <c r="X34" s="324">
        <v>408</v>
      </c>
      <c r="Y34" s="324">
        <v>407.3</v>
      </c>
      <c r="Z34" s="324">
        <v>415</v>
      </c>
      <c r="AA34" s="324">
        <f>(AA37*AA39)/1000000</f>
        <v>415</v>
      </c>
      <c r="AB34" s="324">
        <f t="shared" ref="AB34:AE34" si="30">(AB37*AB39)/1000000</f>
        <v>415</v>
      </c>
      <c r="AC34" s="324">
        <f t="shared" si="30"/>
        <v>415</v>
      </c>
      <c r="AD34" s="324">
        <f t="shared" si="30"/>
        <v>415</v>
      </c>
      <c r="AE34" s="324">
        <f t="shared" si="30"/>
        <v>415</v>
      </c>
      <c r="AF34" s="319"/>
      <c r="AI34" s="321"/>
    </row>
    <row r="35" spans="1:43" s="317" customFormat="1" ht="17" customHeight="1" outlineLevel="1" x14ac:dyDescent="0.15">
      <c r="A35" s="326" t="s">
        <v>387</v>
      </c>
      <c r="B35" s="327"/>
      <c r="C35" s="327"/>
      <c r="D35" s="327"/>
      <c r="E35" s="327"/>
      <c r="F35" s="327"/>
      <c r="G35" s="328"/>
      <c r="H35" s="329"/>
      <c r="I35" s="330">
        <v>-1.7041244751790509E-2</v>
      </c>
      <c r="J35" s="330">
        <v>-1.5075376884422682E-3</v>
      </c>
      <c r="K35" s="359">
        <v>-1.7614494212380189E-3</v>
      </c>
      <c r="L35" s="330">
        <v>2.1678850516763354E-2</v>
      </c>
      <c r="M35" s="330">
        <v>-8.6355785837651123E-3</v>
      </c>
      <c r="N35" s="330">
        <v>-2.7625684420109563E-2</v>
      </c>
      <c r="O35" s="330">
        <v>-4.3511645764013019E-3</v>
      </c>
      <c r="P35" s="330">
        <v>3.2133676092544985E-2</v>
      </c>
      <c r="Q35" s="330">
        <v>-2.0423412204234093E-2</v>
      </c>
      <c r="R35" s="330">
        <v>-2.5425883549459125E-4</v>
      </c>
      <c r="S35" s="330">
        <v>-5.0864699898270603E-3</v>
      </c>
      <c r="T35" s="330">
        <v>2.9652351738241368E-2</v>
      </c>
      <c r="U35" s="330">
        <v>-4.2204568023832883E-3</v>
      </c>
      <c r="V35" s="330">
        <v>-4.7120418848167624E-2</v>
      </c>
      <c r="W35" s="330">
        <v>8.3725798011512007E-3</v>
      </c>
      <c r="X35" s="361">
        <v>8.3725798011512007E-3</v>
      </c>
      <c r="Y35" s="361">
        <v>8.3725798011512007E-3</v>
      </c>
      <c r="Z35" s="361">
        <v>8.3725798011512007E-3</v>
      </c>
      <c r="AA35" s="361">
        <f>(AA34-Z34)/Z34</f>
        <v>0</v>
      </c>
      <c r="AB35" s="361">
        <f t="shared" ref="AB35:AE35" si="31">(AB34-AA34)/AA34</f>
        <v>0</v>
      </c>
      <c r="AC35" s="361">
        <f t="shared" si="31"/>
        <v>0</v>
      </c>
      <c r="AD35" s="361">
        <f t="shared" si="31"/>
        <v>0</v>
      </c>
      <c r="AE35" s="361">
        <f t="shared" si="31"/>
        <v>0</v>
      </c>
      <c r="AF35" s="331"/>
      <c r="AH35" s="316"/>
      <c r="AI35" s="316"/>
      <c r="AJ35" s="316"/>
      <c r="AK35" s="316"/>
      <c r="AL35" s="316"/>
      <c r="AM35" s="316"/>
      <c r="AN35" s="316"/>
      <c r="AO35" s="316"/>
      <c r="AP35" s="316"/>
      <c r="AQ35" s="316"/>
    </row>
    <row r="36" spans="1:43" s="317" customFormat="1" ht="17" customHeight="1" outlineLevel="1" x14ac:dyDescent="0.15">
      <c r="A36" s="353" t="s">
        <v>533</v>
      </c>
      <c r="B36" s="327"/>
      <c r="C36" s="327"/>
      <c r="D36" s="327"/>
      <c r="E36" s="327"/>
      <c r="F36" s="327"/>
      <c r="G36" s="328"/>
      <c r="H36" s="340">
        <f t="shared" ref="H36:AE36" si="32">H34/H5</f>
        <v>0.26959185032292426</v>
      </c>
      <c r="I36" s="341">
        <f t="shared" si="32"/>
        <v>0.26453971419076105</v>
      </c>
      <c r="J36" s="341">
        <f t="shared" si="32"/>
        <v>0.26459817564418397</v>
      </c>
      <c r="K36" s="341">
        <f t="shared" si="32"/>
        <v>0.26301133726712195</v>
      </c>
      <c r="L36" s="341">
        <f t="shared" si="32"/>
        <v>0.26530077894874649</v>
      </c>
      <c r="M36" s="341">
        <f t="shared" si="32"/>
        <v>0.26387338280685624</v>
      </c>
      <c r="N36" s="341">
        <f t="shared" si="32"/>
        <v>0.26338142105972762</v>
      </c>
      <c r="O36" s="341">
        <f t="shared" si="32"/>
        <v>0.26193522321729179</v>
      </c>
      <c r="P36" s="341">
        <f t="shared" si="32"/>
        <v>0.26314064752916505</v>
      </c>
      <c r="Q36" s="341">
        <f t="shared" si="32"/>
        <v>0.25839300965770978</v>
      </c>
      <c r="R36" s="341">
        <f t="shared" si="32"/>
        <v>0.26199360341151384</v>
      </c>
      <c r="S36" s="341">
        <f t="shared" si="32"/>
        <v>0.25580330870332835</v>
      </c>
      <c r="T36" s="341">
        <f t="shared" si="32"/>
        <v>0.26072884976373872</v>
      </c>
      <c r="U36" s="341">
        <f t="shared" si="32"/>
        <v>0.25510398778859</v>
      </c>
      <c r="V36" s="341">
        <f t="shared" si="32"/>
        <v>0.2450628366247756</v>
      </c>
      <c r="W36" s="341">
        <f t="shared" si="32"/>
        <v>0.24369269680682895</v>
      </c>
      <c r="X36" s="341">
        <f t="shared" si="32"/>
        <v>0.25347912524850896</v>
      </c>
      <c r="Y36" s="341">
        <f t="shared" si="32"/>
        <v>0.24814183014499816</v>
      </c>
      <c r="Z36" s="341">
        <f t="shared" si="32"/>
        <v>0.25034686613983231</v>
      </c>
      <c r="AA36" s="341">
        <f t="shared" si="32"/>
        <v>0.24687685901249257</v>
      </c>
      <c r="AB36" s="341">
        <f t="shared" si="32"/>
        <v>0.24687685901249257</v>
      </c>
      <c r="AC36" s="341">
        <f t="shared" si="32"/>
        <v>0.24687685901249257</v>
      </c>
      <c r="AD36" s="341">
        <f t="shared" si="32"/>
        <v>0.24687685901249257</v>
      </c>
      <c r="AE36" s="341">
        <f t="shared" si="32"/>
        <v>0.24687685901249257</v>
      </c>
      <c r="AF36" s="331"/>
      <c r="AH36" s="316"/>
      <c r="AI36" s="316"/>
      <c r="AJ36" s="316"/>
      <c r="AK36" s="316"/>
      <c r="AL36" s="316"/>
      <c r="AM36" s="316"/>
    </row>
    <row r="37" spans="1:43" s="317" customFormat="1" ht="17" customHeight="1" outlineLevel="1" x14ac:dyDescent="0.15">
      <c r="A37" s="326" t="s">
        <v>532</v>
      </c>
      <c r="B37" s="327"/>
      <c r="C37" s="327"/>
      <c r="D37" s="327"/>
      <c r="E37" s="327"/>
      <c r="F37" s="327"/>
      <c r="G37" s="328"/>
      <c r="H37" s="329"/>
      <c r="I37" s="330"/>
      <c r="J37" s="330"/>
      <c r="K37" s="359"/>
      <c r="L37" s="330"/>
      <c r="M37" s="330"/>
      <c r="N37" s="330"/>
      <c r="O37" s="330"/>
      <c r="P37" s="330"/>
      <c r="Q37" s="330"/>
      <c r="R37" s="330"/>
      <c r="S37" s="330"/>
      <c r="T37" s="330"/>
      <c r="U37" s="330"/>
      <c r="V37" s="330"/>
      <c r="W37" s="330"/>
      <c r="X37" s="377">
        <f>X36*X7</f>
        <v>9632206.7594433408</v>
      </c>
      <c r="Y37" s="377">
        <f>Y36*Y7</f>
        <v>9429389.5455099307</v>
      </c>
      <c r="Z37" s="377">
        <f>Z36*Z7</f>
        <v>9513180.9133136272</v>
      </c>
      <c r="AA37" s="357">
        <f>Z37*(1+AA38)</f>
        <v>9513180.9133136272</v>
      </c>
      <c r="AB37" s="357">
        <f t="shared" ref="AB37:AE37" si="33">AA37*(1+AB38)</f>
        <v>9513180.9133136272</v>
      </c>
      <c r="AC37" s="357">
        <f t="shared" si="33"/>
        <v>9513180.9133136272</v>
      </c>
      <c r="AD37" s="357">
        <f t="shared" si="33"/>
        <v>9513180.9133136272</v>
      </c>
      <c r="AE37" s="357">
        <f t="shared" si="33"/>
        <v>9513180.9133136272</v>
      </c>
      <c r="AF37" s="331"/>
      <c r="AH37" s="316"/>
      <c r="AI37" s="316"/>
      <c r="AJ37" s="316"/>
      <c r="AK37" s="316"/>
      <c r="AL37" s="316"/>
      <c r="AM37" s="316"/>
    </row>
    <row r="38" spans="1:43" s="317" customFormat="1" ht="17" customHeight="1" outlineLevel="1" x14ac:dyDescent="0.15">
      <c r="A38" s="358" t="s">
        <v>387</v>
      </c>
      <c r="B38" s="327"/>
      <c r="C38" s="327"/>
      <c r="D38" s="327"/>
      <c r="E38" s="327"/>
      <c r="F38" s="327"/>
      <c r="G38" s="328"/>
      <c r="H38" s="329"/>
      <c r="I38" s="330"/>
      <c r="J38" s="330"/>
      <c r="K38" s="359"/>
      <c r="L38" s="330"/>
      <c r="M38" s="330"/>
      <c r="N38" s="330"/>
      <c r="O38" s="330"/>
      <c r="P38" s="330"/>
      <c r="Q38" s="330"/>
      <c r="R38" s="330"/>
      <c r="S38" s="330"/>
      <c r="T38" s="330"/>
      <c r="U38" s="330"/>
      <c r="V38" s="330"/>
      <c r="W38" s="330"/>
      <c r="X38" s="360"/>
      <c r="Y38" s="361">
        <f>(Y37-X37)/X37</f>
        <v>-2.1056152447575908E-2</v>
      </c>
      <c r="Z38" s="361">
        <f t="shared" ref="Z38" si="34">(Z37-Y37)/Y37</f>
        <v>8.8861921972028576E-3</v>
      </c>
      <c r="AA38" s="365">
        <v>0</v>
      </c>
      <c r="AB38" s="365">
        <v>0</v>
      </c>
      <c r="AC38" s="365">
        <v>0</v>
      </c>
      <c r="AD38" s="365">
        <v>0</v>
      </c>
      <c r="AE38" s="365">
        <v>0</v>
      </c>
      <c r="AF38" s="331"/>
      <c r="AH38" s="316"/>
      <c r="AI38" s="316"/>
      <c r="AJ38" s="316"/>
      <c r="AK38" s="316"/>
      <c r="AL38" s="316"/>
      <c r="AM38" s="316"/>
    </row>
    <row r="39" spans="1:43" s="317" customFormat="1" ht="17" customHeight="1" outlineLevel="1" x14ac:dyDescent="0.15">
      <c r="A39" s="326" t="s">
        <v>534</v>
      </c>
      <c r="B39" s="327"/>
      <c r="C39" s="327"/>
      <c r="D39" s="327"/>
      <c r="E39" s="327"/>
      <c r="F39" s="327"/>
      <c r="G39" s="328"/>
      <c r="H39" s="329"/>
      <c r="I39" s="330"/>
      <c r="J39" s="330"/>
      <c r="K39" s="359"/>
      <c r="L39" s="330"/>
      <c r="M39" s="330"/>
      <c r="N39" s="330"/>
      <c r="O39" s="330"/>
      <c r="P39" s="330"/>
      <c r="Q39" s="330"/>
      <c r="R39" s="330"/>
      <c r="S39" s="330"/>
      <c r="T39" s="330"/>
      <c r="U39" s="330"/>
      <c r="V39" s="330"/>
      <c r="W39" s="330"/>
      <c r="X39" s="364">
        <f>(X34*1000000)/X37</f>
        <v>42.357894736842098</v>
      </c>
      <c r="Y39" s="364">
        <f t="shared" ref="Y39:Z39" si="35">(Y34*1000000)/Y37</f>
        <v>43.194736842105264</v>
      </c>
      <c r="Z39" s="364">
        <f t="shared" si="35"/>
        <v>43.623684210526314</v>
      </c>
      <c r="AA39" s="364">
        <f>Z39*(1+AA40)</f>
        <v>43.623684210526314</v>
      </c>
      <c r="AB39" s="364">
        <f t="shared" ref="AB39:AE39" si="36">AA39*(1+AB40)</f>
        <v>43.623684210526314</v>
      </c>
      <c r="AC39" s="364">
        <f t="shared" si="36"/>
        <v>43.623684210526314</v>
      </c>
      <c r="AD39" s="364">
        <f t="shared" si="36"/>
        <v>43.623684210526314</v>
      </c>
      <c r="AE39" s="364">
        <f t="shared" si="36"/>
        <v>43.623684210526314</v>
      </c>
      <c r="AF39" s="331"/>
      <c r="AH39" s="316"/>
      <c r="AI39" s="316"/>
      <c r="AJ39" s="316"/>
      <c r="AK39" s="316"/>
      <c r="AL39" s="316"/>
      <c r="AM39" s="316"/>
    </row>
    <row r="40" spans="1:43" s="317" customFormat="1" ht="17" customHeight="1" outlineLevel="1" x14ac:dyDescent="0.15">
      <c r="A40" s="358" t="s">
        <v>387</v>
      </c>
      <c r="B40" s="327"/>
      <c r="C40" s="327"/>
      <c r="D40" s="327"/>
      <c r="E40" s="327"/>
      <c r="F40" s="327"/>
      <c r="G40" s="328"/>
      <c r="H40" s="329"/>
      <c r="I40" s="330"/>
      <c r="J40" s="330"/>
      <c r="K40" s="359"/>
      <c r="L40" s="330"/>
      <c r="M40" s="330"/>
      <c r="N40" s="330"/>
      <c r="O40" s="330"/>
      <c r="P40" s="330"/>
      <c r="Q40" s="330"/>
      <c r="R40" s="330"/>
      <c r="S40" s="330"/>
      <c r="T40" s="330"/>
      <c r="U40" s="330"/>
      <c r="V40" s="330"/>
      <c r="W40" s="330"/>
      <c r="X40" s="360"/>
      <c r="Y40" s="361">
        <f>(Y39-X39)/X39</f>
        <v>1.975646123260457E-2</v>
      </c>
      <c r="Z40" s="361">
        <f t="shared" ref="Z40" si="37">(Z39-Y39)/Y39</f>
        <v>9.9305470939441143E-3</v>
      </c>
      <c r="AA40" s="362">
        <v>0</v>
      </c>
      <c r="AB40" s="365">
        <v>0</v>
      </c>
      <c r="AC40" s="365">
        <v>0</v>
      </c>
      <c r="AD40" s="365">
        <v>0</v>
      </c>
      <c r="AE40" s="365">
        <v>0</v>
      </c>
      <c r="AF40" s="331"/>
      <c r="AH40" s="316"/>
      <c r="AI40" s="316"/>
      <c r="AJ40" s="316"/>
      <c r="AK40" s="316"/>
      <c r="AL40" s="316"/>
      <c r="AM40" s="316"/>
    </row>
    <row r="41" spans="1:43" s="316" customFormat="1" x14ac:dyDescent="0.15">
      <c r="A41" s="353" t="s">
        <v>382</v>
      </c>
      <c r="H41" s="321">
        <v>143.33459999999999</v>
      </c>
      <c r="I41" s="325">
        <v>169.15</v>
      </c>
      <c r="J41" s="325">
        <v>175.6508</v>
      </c>
      <c r="K41" s="325">
        <v>180.89519999999999</v>
      </c>
      <c r="L41" s="325">
        <v>132.53310000000002</v>
      </c>
      <c r="M41" s="325">
        <v>173.17580000000001</v>
      </c>
      <c r="N41" s="325">
        <v>178.1592</v>
      </c>
      <c r="O41" s="325">
        <v>0</v>
      </c>
      <c r="P41" s="325">
        <v>157.78949999999998</v>
      </c>
      <c r="Q41" s="325">
        <v>173.83860000000001</v>
      </c>
      <c r="R41" s="325">
        <v>183.2312</v>
      </c>
      <c r="S41" s="325">
        <v>167.82479999999998</v>
      </c>
      <c r="T41" s="325">
        <v>162.7312</v>
      </c>
      <c r="U41" s="325">
        <v>163.64879999999999</v>
      </c>
      <c r="V41" s="325">
        <v>162.81719999999999</v>
      </c>
      <c r="W41" s="325">
        <v>173.0446</v>
      </c>
      <c r="X41" s="324">
        <v>189</v>
      </c>
      <c r="Y41" s="324">
        <v>188</v>
      </c>
      <c r="Z41" s="324">
        <v>182.9</v>
      </c>
      <c r="AA41" s="324">
        <f>(AA42*AA37)/1000000</f>
        <v>182.9</v>
      </c>
      <c r="AB41" s="324">
        <f t="shared" ref="AB41:AE41" si="38">(AB42*AB37)/1000000</f>
        <v>192.04500000000002</v>
      </c>
      <c r="AC41" s="324">
        <f t="shared" si="38"/>
        <v>192.04500000000002</v>
      </c>
      <c r="AD41" s="324">
        <f t="shared" si="38"/>
        <v>192.04500000000002</v>
      </c>
      <c r="AE41" s="324">
        <f t="shared" si="38"/>
        <v>192.04500000000002</v>
      </c>
      <c r="AF41" s="319"/>
      <c r="AH41" s="317"/>
      <c r="AI41" s="317"/>
      <c r="AN41" s="317"/>
      <c r="AO41" s="317"/>
      <c r="AP41" s="317"/>
      <c r="AQ41" s="317"/>
    </row>
    <row r="42" spans="1:43" s="316" customFormat="1" outlineLevel="1" x14ac:dyDescent="0.15">
      <c r="A42" s="366" t="s">
        <v>541</v>
      </c>
      <c r="H42" s="321"/>
      <c r="I42" s="325"/>
      <c r="J42" s="325"/>
      <c r="K42" s="325"/>
      <c r="L42" s="325"/>
      <c r="M42" s="325"/>
      <c r="N42" s="325"/>
      <c r="O42" s="325"/>
      <c r="P42" s="325"/>
      <c r="Q42" s="325"/>
      <c r="R42" s="325"/>
      <c r="S42" s="325"/>
      <c r="T42" s="325"/>
      <c r="U42" s="325"/>
      <c r="V42" s="325"/>
      <c r="W42" s="325"/>
      <c r="X42" s="378">
        <f>(X41*1000000)/X37</f>
        <v>19.621671826625384</v>
      </c>
      <c r="Y42" s="378">
        <f t="shared" ref="Y42:Z42" si="39">(Y41*1000000)/Y37</f>
        <v>19.937663948725238</v>
      </c>
      <c r="Z42" s="378">
        <f t="shared" si="39"/>
        <v>19.22595624603678</v>
      </c>
      <c r="AA42" s="378">
        <f>Z42*(1+AA43)</f>
        <v>19.22595624603678</v>
      </c>
      <c r="AB42" s="378">
        <f t="shared" ref="AB42:AE42" si="40">AA42*(1+AB43)</f>
        <v>20.18725405833862</v>
      </c>
      <c r="AC42" s="378">
        <f t="shared" si="40"/>
        <v>20.18725405833862</v>
      </c>
      <c r="AD42" s="378">
        <f t="shared" si="40"/>
        <v>20.18725405833862</v>
      </c>
      <c r="AE42" s="378">
        <f t="shared" si="40"/>
        <v>20.18725405833862</v>
      </c>
      <c r="AF42" s="319"/>
      <c r="AJ42" s="317"/>
      <c r="AK42" s="317"/>
      <c r="AL42" s="317"/>
      <c r="AM42" s="317"/>
    </row>
    <row r="43" spans="1:43" s="317" customFormat="1" ht="17" customHeight="1" outlineLevel="1" x14ac:dyDescent="0.15">
      <c r="A43" s="358" t="s">
        <v>387</v>
      </c>
      <c r="B43" s="327"/>
      <c r="C43" s="327"/>
      <c r="D43" s="327"/>
      <c r="E43" s="327"/>
      <c r="F43" s="327"/>
      <c r="G43" s="328"/>
      <c r="H43" s="329"/>
      <c r="I43" s="330"/>
      <c r="J43" s="330"/>
      <c r="K43" s="359"/>
      <c r="L43" s="330"/>
      <c r="M43" s="330"/>
      <c r="N43" s="330"/>
      <c r="O43" s="330"/>
      <c r="P43" s="330"/>
      <c r="Q43" s="330"/>
      <c r="R43" s="330"/>
      <c r="S43" s="330"/>
      <c r="T43" s="330"/>
      <c r="U43" s="330"/>
      <c r="V43" s="330"/>
      <c r="W43" s="330"/>
      <c r="X43" s="360"/>
      <c r="Y43" s="361">
        <f>(Y42-X42)/X42</f>
        <v>1.6104240499582295E-2</v>
      </c>
      <c r="Z43" s="361">
        <f>(Z42-Y42)/Y42</f>
        <v>-3.5696644527603349E-2</v>
      </c>
      <c r="AA43" s="362">
        <v>0</v>
      </c>
      <c r="AB43" s="365">
        <v>0.05</v>
      </c>
      <c r="AC43" s="365">
        <v>0</v>
      </c>
      <c r="AD43" s="365">
        <v>0</v>
      </c>
      <c r="AE43" s="365">
        <v>0</v>
      </c>
      <c r="AF43" s="331"/>
      <c r="AH43" s="316"/>
      <c r="AI43" s="316"/>
      <c r="AJ43" s="316"/>
      <c r="AK43" s="316"/>
      <c r="AL43" s="316"/>
      <c r="AM43" s="316"/>
      <c r="AN43" s="316"/>
      <c r="AO43" s="316"/>
      <c r="AP43" s="316"/>
      <c r="AQ43" s="316"/>
    </row>
    <row r="44" spans="1:43" s="316" customFormat="1" x14ac:dyDescent="0.15">
      <c r="A44" s="353" t="s">
        <v>383</v>
      </c>
      <c r="H44" s="321">
        <v>91.507400000000004</v>
      </c>
      <c r="I44" s="325">
        <v>79.201999999999998</v>
      </c>
      <c r="J44" s="325">
        <v>77.492999999999995</v>
      </c>
      <c r="K44" s="325">
        <v>78.149899999999988</v>
      </c>
      <c r="L44" s="325">
        <v>81.870599999999996</v>
      </c>
      <c r="M44" s="325">
        <v>80.761800000000008</v>
      </c>
      <c r="N44" s="325">
        <v>75.795799999999986</v>
      </c>
      <c r="O44" s="325">
        <v>0</v>
      </c>
      <c r="P44" s="325">
        <v>74.277500000000003</v>
      </c>
      <c r="Q44" s="325">
        <v>73.5471</v>
      </c>
      <c r="R44" s="325">
        <v>74.707999999999998</v>
      </c>
      <c r="S44" s="325">
        <v>80.978399999999993</v>
      </c>
      <c r="T44" s="325">
        <v>77.740400000000008</v>
      </c>
      <c r="U44" s="325">
        <v>79.818899999999999</v>
      </c>
      <c r="V44" s="325">
        <v>78.350999999999999</v>
      </c>
      <c r="W44" s="325">
        <v>96.735399999999998</v>
      </c>
      <c r="X44" s="324">
        <f>X34*X45</f>
        <v>87.72</v>
      </c>
      <c r="Y44" s="324">
        <f>Y34*Y45</f>
        <v>87.569500000000005</v>
      </c>
      <c r="Z44" s="324">
        <f>Z34*Z45</f>
        <v>92.960000000000008</v>
      </c>
      <c r="AA44" s="324">
        <f>AA34*AA45</f>
        <v>90.47</v>
      </c>
      <c r="AB44" s="324">
        <f t="shared" ref="AB44:AE44" si="41">AB34*AB45</f>
        <v>92.960000000000008</v>
      </c>
      <c r="AC44" s="324">
        <f t="shared" si="41"/>
        <v>90.47</v>
      </c>
      <c r="AD44" s="324">
        <f t="shared" si="41"/>
        <v>92.960000000000008</v>
      </c>
      <c r="AE44" s="324">
        <f t="shared" si="41"/>
        <v>90.47</v>
      </c>
      <c r="AF44" s="319"/>
      <c r="AN44" s="317"/>
      <c r="AO44" s="317"/>
      <c r="AP44" s="317"/>
      <c r="AQ44" s="317"/>
    </row>
    <row r="45" spans="1:43" s="316" customFormat="1" x14ac:dyDescent="0.15">
      <c r="A45" s="353" t="s">
        <v>384</v>
      </c>
      <c r="H45" s="379">
        <v>0.22600000000000001</v>
      </c>
      <c r="I45" s="380">
        <v>0.19899999999999998</v>
      </c>
      <c r="J45" s="380">
        <v>0.19500000000000001</v>
      </c>
      <c r="K45" s="380">
        <v>0.19699999999999998</v>
      </c>
      <c r="L45" s="380">
        <v>0.20199999999999999</v>
      </c>
      <c r="M45" s="380">
        <v>0.20100000000000001</v>
      </c>
      <c r="N45" s="380">
        <v>0.19399999999999998</v>
      </c>
      <c r="O45" s="380">
        <v>0</v>
      </c>
      <c r="P45" s="380">
        <v>0.185</v>
      </c>
      <c r="Q45" s="380">
        <v>0.187</v>
      </c>
      <c r="R45" s="380">
        <v>0.19</v>
      </c>
      <c r="S45" s="380">
        <v>0.20699999999999999</v>
      </c>
      <c r="T45" s="380">
        <v>0.193</v>
      </c>
      <c r="U45" s="380">
        <v>0.19899999999999998</v>
      </c>
      <c r="V45" s="380">
        <v>0.20499999999999999</v>
      </c>
      <c r="W45" s="380">
        <v>0.251</v>
      </c>
      <c r="X45" s="300">
        <v>0.215</v>
      </c>
      <c r="Y45" s="300">
        <v>0.215</v>
      </c>
      <c r="Z45" s="300">
        <v>0.224</v>
      </c>
      <c r="AA45" s="368">
        <f>AVERAGE(X45:Z45)</f>
        <v>0.218</v>
      </c>
      <c r="AB45" s="313">
        <f>Z45</f>
        <v>0.224</v>
      </c>
      <c r="AC45" s="313">
        <f t="shared" ref="AC45:AE45" si="42">AA45</f>
        <v>0.218</v>
      </c>
      <c r="AD45" s="313">
        <f t="shared" si="42"/>
        <v>0.224</v>
      </c>
      <c r="AE45" s="313">
        <f t="shared" si="42"/>
        <v>0.218</v>
      </c>
      <c r="AF45" s="319"/>
    </row>
    <row r="46" spans="1:43" s="316" customFormat="1" x14ac:dyDescent="0.15">
      <c r="A46" s="353" t="s">
        <v>273</v>
      </c>
      <c r="H46" s="379">
        <v>0.35399999999999998</v>
      </c>
      <c r="I46" s="380">
        <v>0.42499999999999999</v>
      </c>
      <c r="J46" s="380">
        <v>0.442</v>
      </c>
      <c r="K46" s="380">
        <v>0.45600000000000002</v>
      </c>
      <c r="L46" s="380">
        <v>0.32700000000000001</v>
      </c>
      <c r="M46" s="380">
        <v>0.43099999999999999</v>
      </c>
      <c r="N46" s="380">
        <v>0.45600000000000002</v>
      </c>
      <c r="O46" s="380">
        <v>0</v>
      </c>
      <c r="P46" s="380">
        <v>0.39299999999999996</v>
      </c>
      <c r="Q46" s="380">
        <v>0.442</v>
      </c>
      <c r="R46" s="380">
        <v>0.46600000000000003</v>
      </c>
      <c r="S46" s="380">
        <v>0.42899999999999999</v>
      </c>
      <c r="T46" s="380">
        <v>0.40399999999999997</v>
      </c>
      <c r="U46" s="380">
        <v>0.40799999999999997</v>
      </c>
      <c r="V46" s="380">
        <v>0.42599999999999999</v>
      </c>
      <c r="W46" s="380">
        <v>0.44900000000000001</v>
      </c>
      <c r="X46" s="370">
        <f>X41/X34</f>
        <v>0.46323529411764708</v>
      </c>
      <c r="Y46" s="370">
        <f t="shared" ref="Y46:AE46" si="43">Y41/Y34</f>
        <v>0.46157623373434814</v>
      </c>
      <c r="Z46" s="370">
        <f t="shared" si="43"/>
        <v>0.4407228915662651</v>
      </c>
      <c r="AA46" s="370">
        <f t="shared" si="43"/>
        <v>0.4407228915662651</v>
      </c>
      <c r="AB46" s="370">
        <f t="shared" si="43"/>
        <v>0.46275903614457836</v>
      </c>
      <c r="AC46" s="370">
        <f t="shared" si="43"/>
        <v>0.46275903614457836</v>
      </c>
      <c r="AD46" s="370">
        <f t="shared" si="43"/>
        <v>0.46275903614457836</v>
      </c>
      <c r="AE46" s="370">
        <f t="shared" si="43"/>
        <v>0.46275903614457836</v>
      </c>
      <c r="AF46" s="319"/>
    </row>
    <row r="47" spans="1:43" s="316" customFormat="1" x14ac:dyDescent="0.15">
      <c r="A47" s="353" t="s">
        <v>82</v>
      </c>
      <c r="H47" s="321">
        <v>170.05799999999994</v>
      </c>
      <c r="I47" s="325">
        <v>149.648</v>
      </c>
      <c r="J47" s="325">
        <v>144.25619999999998</v>
      </c>
      <c r="K47" s="325">
        <v>137.6549</v>
      </c>
      <c r="L47" s="325">
        <v>190.89629999999997</v>
      </c>
      <c r="M47" s="325">
        <v>147.86239999999998</v>
      </c>
      <c r="N47" s="325">
        <v>136.745</v>
      </c>
      <c r="O47" s="325">
        <v>389</v>
      </c>
      <c r="P47" s="325">
        <v>169.43300000000002</v>
      </c>
      <c r="Q47" s="325">
        <v>145.9143</v>
      </c>
      <c r="R47" s="325">
        <v>135.26079999999999</v>
      </c>
      <c r="S47" s="325">
        <v>142.39680000000001</v>
      </c>
      <c r="T47" s="325">
        <v>162.32839999999999</v>
      </c>
      <c r="U47" s="325">
        <v>157.63230000000004</v>
      </c>
      <c r="V47" s="325">
        <v>141.0318</v>
      </c>
      <c r="W47" s="325">
        <v>115.61999999999998</v>
      </c>
      <c r="X47" s="324">
        <f>X34-X41-X44</f>
        <v>131.28</v>
      </c>
      <c r="Y47" s="324">
        <f>Y34-Y41-Y44</f>
        <v>131.73050000000001</v>
      </c>
      <c r="Z47" s="324">
        <f>Z34-Z41-Z44</f>
        <v>139.13999999999999</v>
      </c>
      <c r="AA47" s="324">
        <f>AA34-AA41-AA44</f>
        <v>141.63</v>
      </c>
      <c r="AB47" s="324">
        <f t="shared" ref="AB47:AE47" si="44">AB34-AB41-AB44</f>
        <v>129.99499999999998</v>
      </c>
      <c r="AC47" s="324">
        <f t="shared" si="44"/>
        <v>132.48499999999999</v>
      </c>
      <c r="AD47" s="324">
        <f t="shared" si="44"/>
        <v>129.99499999999998</v>
      </c>
      <c r="AE47" s="324">
        <f t="shared" si="44"/>
        <v>132.48499999999999</v>
      </c>
      <c r="AF47" s="325"/>
    </row>
    <row r="48" spans="1:43" s="316" customFormat="1" x14ac:dyDescent="0.15">
      <c r="A48" s="353" t="s">
        <v>385</v>
      </c>
      <c r="G48" s="332"/>
      <c r="H48" s="332">
        <v>0.68378769601930012</v>
      </c>
      <c r="I48" s="354">
        <v>0.59313515655965121</v>
      </c>
      <c r="J48" s="354">
        <v>0.56726779394416038</v>
      </c>
      <c r="K48" s="354">
        <v>0.52660635042081105</v>
      </c>
      <c r="L48" s="354">
        <v>0.72556556442417308</v>
      </c>
      <c r="M48" s="354">
        <v>0.56479144385026725</v>
      </c>
      <c r="N48" s="354">
        <v>0.58967227253126353</v>
      </c>
      <c r="O48" s="354">
        <v>2.0669500531349629</v>
      </c>
      <c r="P48" s="354">
        <v>1.1807177700348435</v>
      </c>
      <c r="Q48" s="354">
        <v>1.261143474503025</v>
      </c>
      <c r="R48" s="354">
        <v>0.75438259899609583</v>
      </c>
      <c r="S48" s="354">
        <v>1.6090033898305087</v>
      </c>
      <c r="T48" s="354">
        <v>1.9942063882063878</v>
      </c>
      <c r="U48" s="354">
        <v>0.91860314685314715</v>
      </c>
      <c r="V48" s="354">
        <v>0.47742654028436021</v>
      </c>
      <c r="W48" s="354">
        <v>0.42043636363636355</v>
      </c>
      <c r="X48" s="300">
        <f>X47/X13</f>
        <v>0.54450661346583784</v>
      </c>
      <c r="Y48" s="300">
        <f>Y47/Y13</f>
        <v>0.48771010736764137</v>
      </c>
      <c r="Z48" s="300">
        <f>Z47/Z13</f>
        <v>0.525197317017012</v>
      </c>
      <c r="AA48" s="300">
        <f t="shared" ref="AA48:AE48" si="45">AA47/AA13</f>
        <v>0.48228423543833965</v>
      </c>
      <c r="AB48" s="300">
        <f t="shared" si="45"/>
        <v>0.53989118697566263</v>
      </c>
      <c r="AC48" s="300">
        <f t="shared" si="45"/>
        <v>0.54460064948411258</v>
      </c>
      <c r="AD48" s="300">
        <f t="shared" si="45"/>
        <v>0.53989118697566263</v>
      </c>
      <c r="AE48" s="300">
        <f t="shared" si="45"/>
        <v>0.54460064948411258</v>
      </c>
      <c r="AF48" s="319"/>
    </row>
    <row r="49" spans="1:43" s="316" customFormat="1" x14ac:dyDescent="0.15">
      <c r="A49" s="353"/>
      <c r="H49" s="379"/>
      <c r="I49" s="380"/>
      <c r="J49" s="380"/>
      <c r="K49" s="380"/>
      <c r="L49" s="380"/>
      <c r="M49" s="380"/>
      <c r="N49" s="380"/>
      <c r="O49" s="380"/>
      <c r="P49" s="380"/>
      <c r="Q49" s="380"/>
      <c r="R49" s="380"/>
      <c r="S49" s="380"/>
      <c r="T49" s="380"/>
      <c r="U49" s="380"/>
      <c r="V49" s="380"/>
      <c r="W49" s="380"/>
      <c r="X49" s="370"/>
      <c r="Y49" s="370"/>
      <c r="Z49" s="370"/>
      <c r="AA49" s="376"/>
      <c r="AB49" s="370"/>
      <c r="AC49" s="370"/>
      <c r="AD49" s="370"/>
      <c r="AE49" s="376"/>
      <c r="AF49" s="319"/>
    </row>
    <row r="50" spans="1:43" s="316" customFormat="1" x14ac:dyDescent="0.15">
      <c r="A50" s="381" t="s">
        <v>388</v>
      </c>
      <c r="I50" s="319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75"/>
      <c r="Y50" s="375"/>
      <c r="Z50" s="375"/>
      <c r="AA50" s="376"/>
      <c r="AB50" s="375"/>
      <c r="AC50" s="375"/>
      <c r="AD50" s="375"/>
      <c r="AE50" s="376"/>
      <c r="AF50" s="319"/>
    </row>
    <row r="51" spans="1:43" s="316" customFormat="1" x14ac:dyDescent="0.15">
      <c r="A51" s="353" t="s">
        <v>381</v>
      </c>
      <c r="H51" s="321">
        <v>455.40000000000009</v>
      </c>
      <c r="I51" s="325">
        <v>461.70000000000005</v>
      </c>
      <c r="J51" s="325">
        <v>456.50000000000011</v>
      </c>
      <c r="K51" s="325">
        <v>1111.5999999999999</v>
      </c>
      <c r="L51" s="325">
        <v>456.2</v>
      </c>
      <c r="M51" s="325">
        <v>456.50000000000006</v>
      </c>
      <c r="N51" s="325">
        <v>446.00000000000006</v>
      </c>
      <c r="O51" s="325">
        <v>1096.0999999999999</v>
      </c>
      <c r="P51" s="325">
        <v>451.4</v>
      </c>
      <c r="Q51" s="325">
        <v>456.59999999999985</v>
      </c>
      <c r="R51" s="325">
        <v>443.8</v>
      </c>
      <c r="S51" s="325">
        <v>455.2</v>
      </c>
      <c r="T51" s="325">
        <v>456.60000000000008</v>
      </c>
      <c r="U51" s="325">
        <v>464.69999999999993</v>
      </c>
      <c r="V51" s="325">
        <v>464.2999999999999</v>
      </c>
      <c r="W51" s="325">
        <v>463.20000000000005</v>
      </c>
      <c r="X51" s="324">
        <v>456</v>
      </c>
      <c r="Y51" s="324">
        <v>461</v>
      </c>
      <c r="Z51" s="324">
        <v>491</v>
      </c>
      <c r="AA51" s="324">
        <f>(AA56*AA54)/1000000</f>
        <v>491</v>
      </c>
      <c r="AB51" s="324">
        <f t="shared" ref="AB51:AE51" si="46">(AB56*AB54)/1000000</f>
        <v>491</v>
      </c>
      <c r="AC51" s="324">
        <f t="shared" si="46"/>
        <v>491</v>
      </c>
      <c r="AD51" s="324">
        <f t="shared" si="46"/>
        <v>491</v>
      </c>
      <c r="AE51" s="324">
        <f t="shared" si="46"/>
        <v>491</v>
      </c>
      <c r="AF51" s="319"/>
    </row>
    <row r="52" spans="1:43" s="317" customFormat="1" ht="17" customHeight="1" outlineLevel="1" x14ac:dyDescent="0.15">
      <c r="A52" s="326" t="s">
        <v>387</v>
      </c>
      <c r="B52" s="327"/>
      <c r="C52" s="327"/>
      <c r="D52" s="327"/>
      <c r="E52" s="327"/>
      <c r="F52" s="327"/>
      <c r="G52" s="328"/>
      <c r="H52" s="329"/>
      <c r="I52" s="330">
        <f>(I51-H51)/H51</f>
        <v>1.3833992094861558E-2</v>
      </c>
      <c r="J52" s="330">
        <f t="shared" ref="J52:Z52" si="47">(J51-I51)/I51</f>
        <v>-1.1262724713016961E-2</v>
      </c>
      <c r="K52" s="330">
        <f t="shared" si="47"/>
        <v>1.4350492880613355</v>
      </c>
      <c r="L52" s="330">
        <f t="shared" si="47"/>
        <v>-0.58960057574667135</v>
      </c>
      <c r="M52" s="330">
        <f t="shared" si="47"/>
        <v>6.5760631302075453E-4</v>
      </c>
      <c r="N52" s="330">
        <f t="shared" si="47"/>
        <v>-2.3001095290251915E-2</v>
      </c>
      <c r="O52" s="330">
        <f t="shared" si="47"/>
        <v>1.4576233183856497</v>
      </c>
      <c r="P52" s="330">
        <f t="shared" si="47"/>
        <v>-0.58817626129002831</v>
      </c>
      <c r="Q52" s="330">
        <f t="shared" si="47"/>
        <v>1.1519716437748947E-2</v>
      </c>
      <c r="R52" s="330">
        <f t="shared" si="47"/>
        <v>-2.80332895313181E-2</v>
      </c>
      <c r="S52" s="330">
        <f t="shared" si="47"/>
        <v>2.5687246507435729E-2</v>
      </c>
      <c r="T52" s="330">
        <f t="shared" si="47"/>
        <v>3.0755711775045935E-3</v>
      </c>
      <c r="U52" s="330">
        <f t="shared" si="47"/>
        <v>1.7739816031537126E-2</v>
      </c>
      <c r="V52" s="330">
        <f t="shared" si="47"/>
        <v>-8.6077038949867481E-4</v>
      </c>
      <c r="W52" s="330">
        <f t="shared" si="47"/>
        <v>-2.3691578720651573E-3</v>
      </c>
      <c r="X52" s="330">
        <f t="shared" si="47"/>
        <v>-1.5544041450777299E-2</v>
      </c>
      <c r="Y52" s="330">
        <f t="shared" si="47"/>
        <v>1.0964912280701754E-2</v>
      </c>
      <c r="Z52" s="330">
        <f t="shared" si="47"/>
        <v>6.5075921908893705E-2</v>
      </c>
      <c r="AA52" s="361">
        <f>(AA51-Z51)/Z51</f>
        <v>0</v>
      </c>
      <c r="AB52" s="361">
        <f t="shared" ref="AB52:AC52" si="48">(AB51-AA51)/AA51</f>
        <v>0</v>
      </c>
      <c r="AC52" s="361">
        <f t="shared" si="48"/>
        <v>0</v>
      </c>
      <c r="AD52" s="361">
        <f>(AD51-AC51)/AC51</f>
        <v>0</v>
      </c>
      <c r="AE52" s="361">
        <f>(AE51-AD51)/AD51</f>
        <v>0</v>
      </c>
      <c r="AF52" s="331"/>
      <c r="AH52" s="316"/>
      <c r="AI52" s="316"/>
      <c r="AJ52" s="316"/>
      <c r="AK52" s="316"/>
      <c r="AL52" s="316"/>
      <c r="AM52" s="316"/>
      <c r="AN52" s="316"/>
      <c r="AO52" s="316"/>
      <c r="AP52" s="316"/>
      <c r="AQ52" s="316"/>
    </row>
    <row r="53" spans="1:43" s="317" customFormat="1" ht="17" customHeight="1" outlineLevel="1" x14ac:dyDescent="0.15">
      <c r="A53" s="353" t="s">
        <v>533</v>
      </c>
      <c r="B53" s="327"/>
      <c r="C53" s="327"/>
      <c r="D53" s="327"/>
      <c r="E53" s="327"/>
      <c r="F53" s="327"/>
      <c r="G53" s="328"/>
      <c r="H53" s="340">
        <f t="shared" ref="H53:AE53" si="49">H51/H5</f>
        <v>0.30321592649310875</v>
      </c>
      <c r="I53" s="341">
        <f t="shared" si="49"/>
        <v>0.30687936191425724</v>
      </c>
      <c r="J53" s="341">
        <f t="shared" si="49"/>
        <v>0.30394833211265737</v>
      </c>
      <c r="K53" s="341">
        <f t="shared" si="49"/>
        <v>0.736988662732878</v>
      </c>
      <c r="L53" s="341">
        <f t="shared" si="49"/>
        <v>0.29861883877724682</v>
      </c>
      <c r="M53" s="341">
        <f t="shared" si="49"/>
        <v>0.29979641426413611</v>
      </c>
      <c r="N53" s="341">
        <f t="shared" si="49"/>
        <v>0.30066064446541729</v>
      </c>
      <c r="O53" s="341">
        <f t="shared" si="49"/>
        <v>0.73806477678270821</v>
      </c>
      <c r="P53" s="341">
        <f t="shared" si="49"/>
        <v>0.29584480272643859</v>
      </c>
      <c r="Q53" s="341">
        <f t="shared" si="49"/>
        <v>0.29998029038827928</v>
      </c>
      <c r="R53" s="341">
        <f t="shared" si="49"/>
        <v>0.29570895522388063</v>
      </c>
      <c r="S53" s="341">
        <f t="shared" si="49"/>
        <v>0.29765252076113252</v>
      </c>
      <c r="T53" s="341">
        <f t="shared" si="49"/>
        <v>0.29555311023367209</v>
      </c>
      <c r="U53" s="341">
        <f t="shared" si="49"/>
        <v>0.29555428353367674</v>
      </c>
      <c r="V53" s="341">
        <f t="shared" si="49"/>
        <v>0.29770453962554494</v>
      </c>
      <c r="W53" s="341">
        <f t="shared" si="49"/>
        <v>0.29288650015807782</v>
      </c>
      <c r="X53" s="341">
        <f t="shared" si="49"/>
        <v>0.28330019880715707</v>
      </c>
      <c r="Y53" s="341">
        <f t="shared" si="49"/>
        <v>0.28085780431339097</v>
      </c>
      <c r="Z53" s="341">
        <f t="shared" si="49"/>
        <v>0.29619352114375336</v>
      </c>
      <c r="AA53" s="341">
        <f t="shared" si="49"/>
        <v>0.29208804283164785</v>
      </c>
      <c r="AB53" s="341">
        <f t="shared" si="49"/>
        <v>0.29208804283164785</v>
      </c>
      <c r="AC53" s="341">
        <f t="shared" si="49"/>
        <v>0.29208804283164785</v>
      </c>
      <c r="AD53" s="341">
        <f t="shared" si="49"/>
        <v>0.29208804283164785</v>
      </c>
      <c r="AE53" s="341">
        <f t="shared" si="49"/>
        <v>0.29208804283164785</v>
      </c>
      <c r="AF53" s="331"/>
      <c r="AH53" s="316"/>
      <c r="AI53" s="316"/>
      <c r="AJ53" s="316"/>
      <c r="AK53" s="316"/>
      <c r="AL53" s="316"/>
      <c r="AM53" s="316"/>
    </row>
    <row r="54" spans="1:43" s="317" customFormat="1" ht="17" customHeight="1" outlineLevel="1" x14ac:dyDescent="0.15">
      <c r="A54" s="326" t="s">
        <v>532</v>
      </c>
      <c r="B54" s="327"/>
      <c r="C54" s="327"/>
      <c r="D54" s="327"/>
      <c r="E54" s="327"/>
      <c r="F54" s="327"/>
      <c r="G54" s="328"/>
      <c r="H54" s="329"/>
      <c r="I54" s="330"/>
      <c r="J54" s="330"/>
      <c r="K54" s="330"/>
      <c r="L54" s="330"/>
      <c r="M54" s="330"/>
      <c r="N54" s="330"/>
      <c r="O54" s="330"/>
      <c r="P54" s="330"/>
      <c r="Q54" s="330"/>
      <c r="R54" s="330"/>
      <c r="S54" s="330"/>
      <c r="T54" s="330"/>
      <c r="U54" s="330"/>
      <c r="V54" s="330"/>
      <c r="W54" s="330"/>
      <c r="X54" s="334">
        <f>X53*X7</f>
        <v>10765407.554671969</v>
      </c>
      <c r="Y54" s="334">
        <f>Y53*Y7</f>
        <v>10672596.563908856</v>
      </c>
      <c r="Z54" s="334">
        <f>Z53*Z7</f>
        <v>11255353.803462628</v>
      </c>
      <c r="AA54" s="357">
        <f>Z54*(1+AA55)</f>
        <v>11255353.803462628</v>
      </c>
      <c r="AB54" s="357">
        <f t="shared" ref="AB54:AE54" si="50">AA54*(1+AB55)</f>
        <v>11255353.803462628</v>
      </c>
      <c r="AC54" s="357">
        <f t="shared" si="50"/>
        <v>11255353.803462628</v>
      </c>
      <c r="AD54" s="357">
        <f t="shared" si="50"/>
        <v>11255353.803462628</v>
      </c>
      <c r="AE54" s="357">
        <f t="shared" si="50"/>
        <v>11255353.803462628</v>
      </c>
      <c r="AF54" s="331"/>
      <c r="AH54" s="316"/>
      <c r="AI54" s="316"/>
      <c r="AJ54" s="316"/>
      <c r="AK54" s="316"/>
      <c r="AL54" s="316"/>
      <c r="AM54" s="316"/>
    </row>
    <row r="55" spans="1:43" s="317" customFormat="1" ht="17" customHeight="1" outlineLevel="1" x14ac:dyDescent="0.15">
      <c r="A55" s="358" t="s">
        <v>387</v>
      </c>
      <c r="B55" s="327"/>
      <c r="C55" s="327"/>
      <c r="D55" s="327"/>
      <c r="E55" s="327"/>
      <c r="F55" s="327"/>
      <c r="G55" s="328"/>
      <c r="H55" s="329"/>
      <c r="I55" s="330"/>
      <c r="J55" s="330"/>
      <c r="K55" s="359"/>
      <c r="L55" s="330"/>
      <c r="M55" s="330"/>
      <c r="N55" s="330"/>
      <c r="O55" s="330"/>
      <c r="P55" s="330"/>
      <c r="Q55" s="330"/>
      <c r="R55" s="330"/>
      <c r="S55" s="330"/>
      <c r="T55" s="330"/>
      <c r="U55" s="330"/>
      <c r="V55" s="330"/>
      <c r="W55" s="330"/>
      <c r="X55" s="360"/>
      <c r="Y55" s="361">
        <f>(Y54-X54)/X54</f>
        <v>-8.6212240727323707E-3</v>
      </c>
      <c r="Z55" s="361">
        <f t="shared" ref="Z55" si="51">(Z54-Y54)/Y54</f>
        <v>5.4603135803377174E-2</v>
      </c>
      <c r="AA55" s="362">
        <v>0</v>
      </c>
      <c r="AB55" s="362">
        <v>0</v>
      </c>
      <c r="AC55" s="362">
        <v>0</v>
      </c>
      <c r="AD55" s="362">
        <v>0</v>
      </c>
      <c r="AE55" s="362">
        <v>0</v>
      </c>
      <c r="AF55" s="331"/>
      <c r="AH55" s="316"/>
      <c r="AI55" s="316"/>
      <c r="AJ55" s="316"/>
      <c r="AK55" s="316"/>
      <c r="AL55" s="316"/>
      <c r="AM55" s="316"/>
    </row>
    <row r="56" spans="1:43" s="317" customFormat="1" ht="17" customHeight="1" outlineLevel="1" x14ac:dyDescent="0.15">
      <c r="A56" s="326" t="s">
        <v>534</v>
      </c>
      <c r="B56" s="327"/>
      <c r="C56" s="327"/>
      <c r="D56" s="327"/>
      <c r="E56" s="327"/>
      <c r="F56" s="327"/>
      <c r="G56" s="328"/>
      <c r="H56" s="329"/>
      <c r="I56" s="330"/>
      <c r="J56" s="330"/>
      <c r="K56" s="330"/>
      <c r="L56" s="330"/>
      <c r="M56" s="330"/>
      <c r="N56" s="330"/>
      <c r="O56" s="330"/>
      <c r="P56" s="330"/>
      <c r="Q56" s="330"/>
      <c r="R56" s="330"/>
      <c r="S56" s="330"/>
      <c r="T56" s="330"/>
      <c r="U56" s="330"/>
      <c r="V56" s="330"/>
      <c r="W56" s="330"/>
      <c r="X56" s="364">
        <f>(X51*1000000)/X54</f>
        <v>42.357894736842098</v>
      </c>
      <c r="Y56" s="364">
        <f t="shared" ref="Y56:Z56" si="52">(Y51*1000000)/Y54</f>
        <v>43.194736842105272</v>
      </c>
      <c r="Z56" s="364">
        <f t="shared" si="52"/>
        <v>43.623684210526321</v>
      </c>
      <c r="AA56" s="364">
        <f>Z56*(1+AA57)</f>
        <v>43.623684210526321</v>
      </c>
      <c r="AB56" s="364">
        <f>AA56*(1+AB57)</f>
        <v>43.623684210526321</v>
      </c>
      <c r="AC56" s="364">
        <f t="shared" ref="AC56:AE56" si="53">AB56*(1+AC57)</f>
        <v>43.623684210526321</v>
      </c>
      <c r="AD56" s="364">
        <f t="shared" si="53"/>
        <v>43.623684210526321</v>
      </c>
      <c r="AE56" s="364">
        <f t="shared" si="53"/>
        <v>43.623684210526321</v>
      </c>
      <c r="AF56" s="331"/>
      <c r="AH56" s="316"/>
      <c r="AI56" s="316"/>
      <c r="AJ56" s="316"/>
      <c r="AK56" s="316"/>
      <c r="AL56" s="316"/>
      <c r="AM56" s="316"/>
    </row>
    <row r="57" spans="1:43" s="317" customFormat="1" ht="17" customHeight="1" outlineLevel="1" x14ac:dyDescent="0.15">
      <c r="A57" s="358" t="s">
        <v>387</v>
      </c>
      <c r="B57" s="327"/>
      <c r="C57" s="327"/>
      <c r="D57" s="327"/>
      <c r="E57" s="327"/>
      <c r="F57" s="327"/>
      <c r="G57" s="328"/>
      <c r="H57" s="329"/>
      <c r="I57" s="330"/>
      <c r="J57" s="330"/>
      <c r="K57" s="359"/>
      <c r="L57" s="330"/>
      <c r="M57" s="330"/>
      <c r="N57" s="330"/>
      <c r="O57" s="330"/>
      <c r="P57" s="330"/>
      <c r="Q57" s="330"/>
      <c r="R57" s="330"/>
      <c r="S57" s="330"/>
      <c r="T57" s="330"/>
      <c r="U57" s="330"/>
      <c r="V57" s="330"/>
      <c r="W57" s="330"/>
      <c r="X57" s="360"/>
      <c r="Y57" s="361">
        <f>(Y56-X56)/X56</f>
        <v>1.9756461232604737E-2</v>
      </c>
      <c r="Z57" s="361">
        <f t="shared" ref="Z57" si="54">(Z56-Y56)/Y56</f>
        <v>9.9305470939441125E-3</v>
      </c>
      <c r="AA57" s="362">
        <v>0</v>
      </c>
      <c r="AB57" s="365">
        <v>0</v>
      </c>
      <c r="AC57" s="365">
        <v>0</v>
      </c>
      <c r="AD57" s="365">
        <v>0</v>
      </c>
      <c r="AE57" s="365">
        <v>0</v>
      </c>
      <c r="AF57" s="331"/>
      <c r="AH57" s="316"/>
      <c r="AI57" s="316"/>
      <c r="AJ57" s="316"/>
      <c r="AK57" s="316"/>
      <c r="AL57" s="316"/>
      <c r="AM57" s="316"/>
    </row>
    <row r="58" spans="1:43" s="316" customFormat="1" x14ac:dyDescent="0.15">
      <c r="A58" s="353" t="s">
        <v>382</v>
      </c>
      <c r="H58" s="321">
        <v>322.87860000000012</v>
      </c>
      <c r="I58" s="325">
        <v>336.5793000000001</v>
      </c>
      <c r="J58" s="325">
        <v>328.68000000000006</v>
      </c>
      <c r="K58" s="325">
        <v>797.0172</v>
      </c>
      <c r="L58" s="325">
        <v>322.07719999999995</v>
      </c>
      <c r="M58" s="325">
        <v>373.41700000000003</v>
      </c>
      <c r="N58" s="325">
        <v>0</v>
      </c>
      <c r="O58" s="325">
        <v>0</v>
      </c>
      <c r="P58" s="325">
        <v>445.98319999999995</v>
      </c>
      <c r="Q58" s="325">
        <v>389.02319999999986</v>
      </c>
      <c r="R58" s="325">
        <v>446.46280000000002</v>
      </c>
      <c r="S58" s="325">
        <v>447.46159999999998</v>
      </c>
      <c r="T58" s="325">
        <v>401.35140000000007</v>
      </c>
      <c r="U58" s="325">
        <v>328.54289999999997</v>
      </c>
      <c r="V58" s="325">
        <v>362.15399999999994</v>
      </c>
      <c r="W58" s="325">
        <v>362.22240000000005</v>
      </c>
      <c r="X58" s="324">
        <v>342</v>
      </c>
      <c r="Y58" s="324">
        <v>336</v>
      </c>
      <c r="Z58" s="324">
        <v>342</v>
      </c>
      <c r="AA58" s="324">
        <f>(AA59*AA54)/1000000</f>
        <v>342</v>
      </c>
      <c r="AB58" s="324">
        <f t="shared" ref="AB58:AE58" si="55">(AB59*AB54)/1000000</f>
        <v>359.1</v>
      </c>
      <c r="AC58" s="324">
        <f t="shared" si="55"/>
        <v>359.1</v>
      </c>
      <c r="AD58" s="324">
        <f t="shared" si="55"/>
        <v>359.1</v>
      </c>
      <c r="AE58" s="324">
        <f t="shared" si="55"/>
        <v>359.1</v>
      </c>
      <c r="AF58" s="319"/>
      <c r="AN58" s="317"/>
      <c r="AO58" s="317"/>
      <c r="AP58" s="317"/>
      <c r="AQ58" s="317"/>
    </row>
    <row r="59" spans="1:43" s="316" customFormat="1" outlineLevel="1" x14ac:dyDescent="0.15">
      <c r="A59" s="366" t="s">
        <v>541</v>
      </c>
      <c r="H59" s="321"/>
      <c r="I59" s="325"/>
      <c r="J59" s="325"/>
      <c r="K59" s="325"/>
      <c r="L59" s="325"/>
      <c r="M59" s="325"/>
      <c r="N59" s="325"/>
      <c r="O59" s="325"/>
      <c r="P59" s="325"/>
      <c r="Q59" s="325"/>
      <c r="R59" s="325"/>
      <c r="S59" s="325"/>
      <c r="T59" s="325"/>
      <c r="U59" s="325"/>
      <c r="V59" s="325"/>
      <c r="W59" s="325"/>
      <c r="X59" s="378">
        <f>(X58*1000000)/X54</f>
        <v>31.768421052631577</v>
      </c>
      <c r="Y59" s="378">
        <f t="shared" ref="Y59:Z59" si="56">(Y58*1000000)/Y54</f>
        <v>31.482498002055035</v>
      </c>
      <c r="Z59" s="378">
        <f t="shared" si="56"/>
        <v>30.385539714867619</v>
      </c>
      <c r="AA59" s="378">
        <f>Z59*(1+AA60)</f>
        <v>30.385539714867619</v>
      </c>
      <c r="AB59" s="378">
        <f t="shared" ref="AB59:AE59" si="57">AA59*(1+AB60)</f>
        <v>31.904816700611001</v>
      </c>
      <c r="AC59" s="378">
        <f t="shared" si="57"/>
        <v>31.904816700611001</v>
      </c>
      <c r="AD59" s="378">
        <f t="shared" si="57"/>
        <v>31.904816700611001</v>
      </c>
      <c r="AE59" s="378">
        <f t="shared" si="57"/>
        <v>31.904816700611001</v>
      </c>
      <c r="AF59" s="319"/>
    </row>
    <row r="60" spans="1:43" s="317" customFormat="1" ht="17" customHeight="1" outlineLevel="1" x14ac:dyDescent="0.15">
      <c r="A60" s="358" t="s">
        <v>387</v>
      </c>
      <c r="B60" s="327"/>
      <c r="C60" s="327"/>
      <c r="D60" s="327"/>
      <c r="E60" s="327"/>
      <c r="F60" s="327"/>
      <c r="G60" s="328"/>
      <c r="H60" s="329"/>
      <c r="I60" s="330"/>
      <c r="J60" s="330"/>
      <c r="K60" s="359"/>
      <c r="L60" s="330"/>
      <c r="M60" s="330"/>
      <c r="N60" s="330"/>
      <c r="O60" s="330"/>
      <c r="P60" s="330"/>
      <c r="Q60" s="330"/>
      <c r="R60" s="330"/>
      <c r="S60" s="330"/>
      <c r="T60" s="330"/>
      <c r="U60" s="330"/>
      <c r="V60" s="330"/>
      <c r="W60" s="330"/>
      <c r="X60" s="360"/>
      <c r="Y60" s="361">
        <f>(Y59-X59)/X59</f>
        <v>-9.0002285635425883E-3</v>
      </c>
      <c r="Z60" s="361">
        <f>(Z59-Y59)/Y59</f>
        <v>-3.484343228151119E-2</v>
      </c>
      <c r="AA60" s="362">
        <v>0</v>
      </c>
      <c r="AB60" s="365">
        <v>0.05</v>
      </c>
      <c r="AC60" s="365">
        <v>0</v>
      </c>
      <c r="AD60" s="365">
        <v>0</v>
      </c>
      <c r="AE60" s="365">
        <v>0</v>
      </c>
      <c r="AF60" s="331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</row>
    <row r="61" spans="1:43" s="316" customFormat="1" x14ac:dyDescent="0.15">
      <c r="A61" s="353" t="s">
        <v>389</v>
      </c>
      <c r="H61" s="321">
        <v>54.520999999999901</v>
      </c>
      <c r="I61" s="325">
        <v>21.179099999999892</v>
      </c>
      <c r="J61" s="325">
        <v>17.128200000000106</v>
      </c>
      <c r="K61" s="325">
        <v>190.83770000000004</v>
      </c>
      <c r="L61" s="325">
        <v>56.589500000000044</v>
      </c>
      <c r="M61" s="325">
        <v>-35.505399999999781</v>
      </c>
      <c r="N61" s="325">
        <v>328.85720000000003</v>
      </c>
      <c r="O61" s="325">
        <v>1296.8999999999999</v>
      </c>
      <c r="P61" s="325">
        <v>60.957400000000064</v>
      </c>
      <c r="Q61" s="325">
        <v>74.93630000000006</v>
      </c>
      <c r="R61" s="325">
        <v>-93.168000000000063</v>
      </c>
      <c r="S61" s="325">
        <v>5.6373999999999569</v>
      </c>
      <c r="T61" s="325">
        <v>168.3955</v>
      </c>
      <c r="U61" s="325">
        <v>146.21039999999991</v>
      </c>
      <c r="V61" s="325">
        <v>-3.7313999999998941</v>
      </c>
      <c r="W61" s="325">
        <v>-12.962600000000066</v>
      </c>
      <c r="X61" s="324">
        <f>X51*X62</f>
        <v>57.456000000000003</v>
      </c>
      <c r="Y61" s="324">
        <f>Y51*Y62</f>
        <v>57.625</v>
      </c>
      <c r="Z61" s="324">
        <f>Z51*Z62</f>
        <v>59.411000000000001</v>
      </c>
      <c r="AA61" s="324">
        <f>AA62*AA51</f>
        <v>56.465000000000003</v>
      </c>
      <c r="AB61" s="324">
        <f>AB51*AB62</f>
        <v>56.465000000000003</v>
      </c>
      <c r="AC61" s="324">
        <f>AC51*AC62</f>
        <v>56.465000000000003</v>
      </c>
      <c r="AD61" s="324">
        <f>AD51*AD62</f>
        <v>56.465000000000003</v>
      </c>
      <c r="AE61" s="324">
        <f>AE51*AE62</f>
        <v>56.465000000000003</v>
      </c>
      <c r="AF61" s="319"/>
      <c r="AN61" s="317"/>
      <c r="AO61" s="317"/>
      <c r="AP61" s="317"/>
      <c r="AQ61" s="317"/>
    </row>
    <row r="62" spans="1:43" s="316" customFormat="1" x14ac:dyDescent="0.15">
      <c r="A62" s="353" t="s">
        <v>384</v>
      </c>
      <c r="H62" s="332">
        <v>0.11972112428634143</v>
      </c>
      <c r="I62" s="354">
        <v>4.5871994801819124E-2</v>
      </c>
      <c r="J62" s="354">
        <v>3.7520700985761449E-2</v>
      </c>
      <c r="K62" s="354">
        <v>0.17167839150773664</v>
      </c>
      <c r="L62" s="354">
        <v>0.12404537483559852</v>
      </c>
      <c r="M62" s="354">
        <v>-7.7777437020810025E-2</v>
      </c>
      <c r="N62" s="354">
        <v>0.73734798206278029</v>
      </c>
      <c r="O62" s="354">
        <v>1.1831949639631421</v>
      </c>
      <c r="P62" s="354">
        <v>0.13504076207354912</v>
      </c>
      <c r="Q62" s="354">
        <v>0.16411804643013597</v>
      </c>
      <c r="R62" s="354">
        <v>-0.2099324019828753</v>
      </c>
      <c r="S62" s="354">
        <v>1.2384446397187955E-2</v>
      </c>
      <c r="T62" s="354">
        <v>0.36880310994305732</v>
      </c>
      <c r="U62" s="354">
        <v>0.31463395739186556</v>
      </c>
      <c r="V62" s="354">
        <v>-8.0366142580226042E-3</v>
      </c>
      <c r="W62" s="354">
        <v>-2.798488773747855E-2</v>
      </c>
      <c r="X62" s="300">
        <v>0.126</v>
      </c>
      <c r="Y62" s="300">
        <v>0.125</v>
      </c>
      <c r="Z62" s="300">
        <v>0.121</v>
      </c>
      <c r="AA62" s="368">
        <v>0.115</v>
      </c>
      <c r="AB62" s="368">
        <v>0.115</v>
      </c>
      <c r="AC62" s="368">
        <v>0.115</v>
      </c>
      <c r="AD62" s="368">
        <v>0.115</v>
      </c>
      <c r="AE62" s="368">
        <v>0.115</v>
      </c>
      <c r="AF62" s="319"/>
    </row>
    <row r="63" spans="1:43" s="316" customFormat="1" x14ac:dyDescent="0.15">
      <c r="A63" s="353" t="s">
        <v>273</v>
      </c>
      <c r="H63" s="332">
        <v>0.70900000000000007</v>
      </c>
      <c r="I63" s="354">
        <v>0.72900000000000009</v>
      </c>
      <c r="J63" s="354">
        <v>0.72</v>
      </c>
      <c r="K63" s="354">
        <v>0.71700000000000008</v>
      </c>
      <c r="L63" s="354">
        <v>0.70599999999999996</v>
      </c>
      <c r="M63" s="354">
        <v>0.81799999999999995</v>
      </c>
      <c r="N63" s="354">
        <v>0</v>
      </c>
      <c r="O63" s="354">
        <v>0</v>
      </c>
      <c r="P63" s="354">
        <v>0.98799999999999999</v>
      </c>
      <c r="Q63" s="354">
        <v>0.85199999999999998</v>
      </c>
      <c r="R63" s="354">
        <v>1.006</v>
      </c>
      <c r="S63" s="354">
        <v>0.98299999999999998</v>
      </c>
      <c r="T63" s="354">
        <v>0.879</v>
      </c>
      <c r="U63" s="354">
        <v>0.70700000000000007</v>
      </c>
      <c r="V63" s="354">
        <v>0.78</v>
      </c>
      <c r="W63" s="354">
        <v>0.78200000000000003</v>
      </c>
      <c r="X63" s="300">
        <f>X58/X51</f>
        <v>0.75</v>
      </c>
      <c r="Y63" s="300">
        <v>0.73</v>
      </c>
      <c r="Z63" s="300">
        <v>0.73299999999999998</v>
      </c>
      <c r="AA63" s="300">
        <f>AA58/AA51</f>
        <v>0.69653767820773926</v>
      </c>
      <c r="AB63" s="300">
        <f>AB58/AB51</f>
        <v>0.73136456211812628</v>
      </c>
      <c r="AC63" s="300">
        <f t="shared" ref="AC63:AE63" si="58">AC58/AC51</f>
        <v>0.73136456211812628</v>
      </c>
      <c r="AD63" s="300">
        <f t="shared" si="58"/>
        <v>0.73136456211812628</v>
      </c>
      <c r="AE63" s="300">
        <f t="shared" si="58"/>
        <v>0.73136456211812628</v>
      </c>
      <c r="AF63" s="319"/>
    </row>
    <row r="64" spans="1:43" s="316" customFormat="1" x14ac:dyDescent="0.15">
      <c r="A64" s="353" t="s">
        <v>82</v>
      </c>
      <c r="H64" s="121">
        <f>H51-H58-H61</f>
        <v>78.00040000000007</v>
      </c>
      <c r="I64" s="324">
        <f t="shared" ref="I64:W64" si="59">I51-I58-I61</f>
        <v>103.94160000000005</v>
      </c>
      <c r="J64" s="324">
        <f t="shared" si="59"/>
        <v>110.69179999999994</v>
      </c>
      <c r="K64" s="324">
        <f t="shared" si="59"/>
        <v>123.74509999999987</v>
      </c>
      <c r="L64" s="324">
        <f t="shared" si="59"/>
        <v>77.533299999999997</v>
      </c>
      <c r="M64" s="324">
        <f t="shared" si="59"/>
        <v>118.58839999999981</v>
      </c>
      <c r="N64" s="324">
        <f t="shared" si="59"/>
        <v>117.14280000000002</v>
      </c>
      <c r="O64" s="324">
        <f t="shared" si="59"/>
        <v>-200.79999999999995</v>
      </c>
      <c r="P64" s="324">
        <f t="shared" si="59"/>
        <v>-55.54060000000004</v>
      </c>
      <c r="Q64" s="324">
        <f t="shared" si="59"/>
        <v>-7.3595000000000681</v>
      </c>
      <c r="R64" s="324">
        <f t="shared" si="59"/>
        <v>90.505200000000059</v>
      </c>
      <c r="S64" s="324">
        <f t="shared" si="59"/>
        <v>2.1010000000000559</v>
      </c>
      <c r="T64" s="324">
        <f t="shared" si="59"/>
        <v>-113.14689999999999</v>
      </c>
      <c r="U64" s="324">
        <f t="shared" si="59"/>
        <v>-10.05329999999995</v>
      </c>
      <c r="V64" s="324">
        <f t="shared" si="59"/>
        <v>105.87739999999985</v>
      </c>
      <c r="W64" s="324">
        <f t="shared" si="59"/>
        <v>113.94020000000006</v>
      </c>
      <c r="X64" s="324">
        <f>X51-X58-X61</f>
        <v>56.543999999999997</v>
      </c>
      <c r="Y64" s="324">
        <f>Y51-Y58-Y61</f>
        <v>67.375</v>
      </c>
      <c r="Z64" s="324">
        <f>Z51-Z58-Z61</f>
        <v>89.588999999999999</v>
      </c>
      <c r="AA64" s="324">
        <f t="shared" ref="AA64:AE64" si="60">AA51-AA58-AA61</f>
        <v>92.534999999999997</v>
      </c>
      <c r="AB64" s="324">
        <f t="shared" si="60"/>
        <v>75.434999999999974</v>
      </c>
      <c r="AC64" s="324">
        <f t="shared" si="60"/>
        <v>75.434999999999974</v>
      </c>
      <c r="AD64" s="324">
        <f t="shared" si="60"/>
        <v>75.434999999999974</v>
      </c>
      <c r="AE64" s="324">
        <f t="shared" si="60"/>
        <v>75.434999999999974</v>
      </c>
      <c r="AF64" s="319"/>
    </row>
    <row r="65" spans="1:32" s="316" customFormat="1" x14ac:dyDescent="0.15">
      <c r="A65" s="353" t="s">
        <v>385</v>
      </c>
      <c r="G65" s="332"/>
      <c r="H65" s="332">
        <f>H64/H13</f>
        <v>0.31363248894250129</v>
      </c>
      <c r="I65" s="332">
        <f t="shared" ref="I65:AE65" si="61">I64/I13</f>
        <v>0.41197621878715834</v>
      </c>
      <c r="J65" s="332">
        <f t="shared" si="61"/>
        <v>0.43528037750688142</v>
      </c>
      <c r="K65" s="332">
        <f t="shared" si="61"/>
        <v>0.4733936495791885</v>
      </c>
      <c r="L65" s="332">
        <f t="shared" si="61"/>
        <v>0.29469137210186236</v>
      </c>
      <c r="M65" s="332">
        <f t="shared" si="61"/>
        <v>0.45297326203208482</v>
      </c>
      <c r="N65" s="332">
        <f t="shared" si="61"/>
        <v>0.50514359637774908</v>
      </c>
      <c r="O65" s="332">
        <f t="shared" si="61"/>
        <v>-1.0669500531349627</v>
      </c>
      <c r="P65" s="332">
        <f t="shared" si="61"/>
        <v>-0.3870425087108017</v>
      </c>
      <c r="Q65" s="332">
        <f t="shared" si="61"/>
        <v>-6.3608470181504478E-2</v>
      </c>
      <c r="R65" s="332">
        <f t="shared" si="61"/>
        <v>0.50476965978806498</v>
      </c>
      <c r="S65" s="332">
        <f t="shared" si="61"/>
        <v>2.3740112994350915E-2</v>
      </c>
      <c r="T65" s="332">
        <f t="shared" si="61"/>
        <v>-1.3900110565110562</v>
      </c>
      <c r="U65" s="332">
        <f t="shared" si="61"/>
        <v>-5.8585664335664048E-2</v>
      </c>
      <c r="V65" s="332">
        <f t="shared" si="61"/>
        <v>0.35842044685172603</v>
      </c>
      <c r="W65" s="332">
        <f t="shared" si="61"/>
        <v>0.4143280000000002</v>
      </c>
      <c r="X65" s="332">
        <f t="shared" si="61"/>
        <v>0.23452606605585263</v>
      </c>
      <c r="Y65" s="332">
        <f t="shared" si="61"/>
        <v>0.2494446501295815</v>
      </c>
      <c r="Z65" s="332">
        <f t="shared" si="61"/>
        <v>0.33816230008794806</v>
      </c>
      <c r="AA65" s="332">
        <f t="shared" si="61"/>
        <v>0.31510394497131089</v>
      </c>
      <c r="AB65" s="332">
        <f t="shared" si="61"/>
        <v>0.31329429354597566</v>
      </c>
      <c r="AC65" s="332">
        <f t="shared" si="61"/>
        <v>0.31008755703539281</v>
      </c>
      <c r="AD65" s="332">
        <f t="shared" si="61"/>
        <v>0.31329429354597566</v>
      </c>
      <c r="AE65" s="332">
        <f t="shared" si="61"/>
        <v>0.31008755703539281</v>
      </c>
      <c r="AF65" s="3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C844-DD54-4A9D-81EE-90002962CE4B}">
  <dimension ref="A1:BO226"/>
  <sheetViews>
    <sheetView topLeftCell="A89" zoomScaleNormal="100" workbookViewId="0">
      <selection activeCell="M151" sqref="M151"/>
    </sheetView>
  </sheetViews>
  <sheetFormatPr baseColWidth="10" defaultColWidth="9.19921875" defaultRowHeight="13" outlineLevelRow="1" x14ac:dyDescent="0.15"/>
  <cols>
    <col min="1" max="1" width="63.796875" style="289" customWidth="1"/>
    <col min="2" max="3" width="85.796875" style="289" hidden="1" customWidth="1"/>
    <col min="4" max="4" width="4.796875" style="509" bestFit="1" customWidth="1"/>
    <col min="5" max="5" width="2.59765625" style="289" customWidth="1"/>
    <col min="6" max="6" width="1.59765625" style="289" customWidth="1"/>
    <col min="7" max="7" width="15.796875" style="508" customWidth="1"/>
    <col min="8" max="8" width="15.796875" style="509" customWidth="1"/>
    <col min="9" max="10" width="15.796875" style="289" customWidth="1"/>
    <col min="11" max="11" width="15.796875" style="508" customWidth="1"/>
    <col min="12" max="14" width="15.796875" style="289" customWidth="1"/>
    <col min="15" max="15" width="15.796875" style="508" customWidth="1"/>
    <col min="16" max="16" width="15.796875" style="509" customWidth="1"/>
    <col min="17" max="18" width="15.796875" style="289" customWidth="1"/>
    <col min="19" max="19" width="15.796875" style="508" customWidth="1"/>
    <col min="20" max="20" width="15.796875" style="509" customWidth="1"/>
    <col min="21" max="22" width="15.796875" style="289" customWidth="1"/>
    <col min="23" max="23" width="15.796875" style="508" customWidth="1"/>
    <col min="24" max="24" width="15.796875" style="509" customWidth="1"/>
    <col min="25" max="26" width="15.796875" style="289" customWidth="1"/>
    <col min="27" max="27" width="9.19921875" style="508"/>
    <col min="28" max="29" width="9.19921875" style="289"/>
    <col min="30" max="30" width="49.19921875" style="289" bestFit="1" customWidth="1"/>
    <col min="31" max="32" width="14" style="289" bestFit="1" customWidth="1"/>
    <col min="33" max="33" width="14.3984375" style="289" bestFit="1" customWidth="1"/>
    <col min="34" max="34" width="14" style="289" bestFit="1" customWidth="1"/>
    <col min="35" max="37" width="14.3984375" style="289" bestFit="1" customWidth="1"/>
    <col min="38" max="38" width="14.19921875" style="289" bestFit="1" customWidth="1"/>
    <col min="39" max="16384" width="9.19921875" style="289"/>
  </cols>
  <sheetData>
    <row r="1" spans="1:67" x14ac:dyDescent="0.15">
      <c r="A1" s="289" t="s">
        <v>258</v>
      </c>
      <c r="D1" s="502"/>
      <c r="E1" s="503"/>
      <c r="F1" s="503"/>
      <c r="G1" s="504"/>
      <c r="H1" s="502"/>
      <c r="I1" s="503"/>
      <c r="J1" s="503"/>
      <c r="K1" s="504"/>
      <c r="L1" s="503"/>
      <c r="M1" s="503"/>
      <c r="N1" s="503"/>
      <c r="O1" s="504"/>
      <c r="P1" s="502"/>
      <c r="Q1" s="503"/>
      <c r="R1" s="503"/>
      <c r="S1" s="504"/>
      <c r="T1" s="502"/>
      <c r="U1" s="503"/>
      <c r="V1" s="503"/>
      <c r="W1" s="504"/>
      <c r="X1" s="502"/>
      <c r="Y1" s="503"/>
      <c r="Z1" s="503"/>
      <c r="AA1" s="504"/>
      <c r="BM1" s="505"/>
      <c r="BN1" s="505"/>
    </row>
    <row r="2" spans="1:67" x14ac:dyDescent="0.15">
      <c r="A2" s="506" t="s">
        <v>394</v>
      </c>
      <c r="B2" s="506"/>
      <c r="C2" s="506"/>
      <c r="D2" s="507"/>
      <c r="E2" s="506"/>
      <c r="F2" s="506"/>
      <c r="BM2" s="510" t="e">
        <v>#REF!</v>
      </c>
      <c r="BN2" s="510" t="e">
        <v>#REF!</v>
      </c>
    </row>
    <row r="3" spans="1:67" ht="28" x14ac:dyDescent="0.15">
      <c r="A3" s="511" t="s">
        <v>395</v>
      </c>
      <c r="B3" s="511"/>
      <c r="C3" s="511"/>
      <c r="D3" s="512"/>
      <c r="E3" s="511"/>
      <c r="F3" s="511"/>
      <c r="BC3" s="513"/>
      <c r="BM3" s="289">
        <v>42.62</v>
      </c>
      <c r="BN3" s="289">
        <v>47.92</v>
      </c>
      <c r="BO3" s="514"/>
    </row>
    <row r="4" spans="1:67" x14ac:dyDescent="0.15">
      <c r="A4" s="506" t="s">
        <v>396</v>
      </c>
      <c r="B4" s="506"/>
      <c r="C4" s="506"/>
      <c r="D4" s="507"/>
      <c r="E4" s="506"/>
      <c r="F4" s="506"/>
      <c r="BM4" s="387"/>
      <c r="BN4" s="388"/>
    </row>
    <row r="5" spans="1:67" x14ac:dyDescent="0.15">
      <c r="BM5" s="510" t="e">
        <v>#REF!</v>
      </c>
      <c r="BN5" s="510" t="e">
        <v>#REF!</v>
      </c>
    </row>
    <row r="7" spans="1:67" x14ac:dyDescent="0.15">
      <c r="A7" s="515"/>
      <c r="B7" s="516"/>
      <c r="C7" s="517"/>
      <c r="D7" s="518" t="s">
        <v>347</v>
      </c>
      <c r="E7" s="519" t="s">
        <v>348</v>
      </c>
      <c r="F7" s="519" t="s">
        <v>349</v>
      </c>
      <c r="G7" s="519" t="s">
        <v>350</v>
      </c>
      <c r="H7" s="520" t="s">
        <v>351</v>
      </c>
      <c r="I7" s="521" t="s">
        <v>352</v>
      </c>
      <c r="J7" s="521" t="s">
        <v>353</v>
      </c>
      <c r="K7" s="519" t="s">
        <v>354</v>
      </c>
      <c r="L7" s="521" t="s">
        <v>355</v>
      </c>
      <c r="M7" s="521" t="s">
        <v>356</v>
      </c>
      <c r="N7" s="521" t="s">
        <v>357</v>
      </c>
      <c r="O7" s="519" t="s">
        <v>358</v>
      </c>
      <c r="P7" s="520" t="s">
        <v>359</v>
      </c>
      <c r="Q7" s="521" t="s">
        <v>360</v>
      </c>
      <c r="R7" s="521" t="s">
        <v>361</v>
      </c>
      <c r="S7" s="519" t="s">
        <v>362</v>
      </c>
      <c r="T7" s="520" t="s">
        <v>363</v>
      </c>
      <c r="U7" s="521" t="s">
        <v>364</v>
      </c>
      <c r="V7" s="521" t="s">
        <v>365</v>
      </c>
      <c r="W7" s="519" t="s">
        <v>366</v>
      </c>
      <c r="X7" s="520" t="s">
        <v>367</v>
      </c>
      <c r="Y7" s="521" t="s">
        <v>368</v>
      </c>
      <c r="Z7" s="521" t="s">
        <v>369</v>
      </c>
      <c r="AA7" s="519" t="s">
        <v>370</v>
      </c>
      <c r="AD7" s="502"/>
      <c r="AE7" s="521">
        <v>2018</v>
      </c>
      <c r="AF7" s="521">
        <v>2019</v>
      </c>
      <c r="AG7" s="521">
        <v>2020</v>
      </c>
      <c r="AH7" s="521">
        <v>2021</v>
      </c>
      <c r="AI7" s="521">
        <v>2022</v>
      </c>
      <c r="AJ7" s="521" t="s">
        <v>397</v>
      </c>
      <c r="AK7" s="522" t="s">
        <v>371</v>
      </c>
      <c r="AL7" s="523" t="s">
        <v>372</v>
      </c>
    </row>
    <row r="8" spans="1:67" x14ac:dyDescent="0.15">
      <c r="A8" s="524"/>
      <c r="B8" s="524"/>
      <c r="C8" s="524"/>
      <c r="D8" s="525"/>
      <c r="E8" s="526"/>
      <c r="F8" s="526"/>
      <c r="G8" s="527"/>
      <c r="H8" s="525"/>
      <c r="I8" s="526"/>
      <c r="J8" s="526"/>
      <c r="K8" s="527"/>
      <c r="L8" s="526"/>
      <c r="M8" s="526"/>
      <c r="N8" s="526"/>
      <c r="O8" s="527"/>
      <c r="P8" s="525"/>
      <c r="Q8" s="526"/>
      <c r="R8" s="526"/>
      <c r="S8" s="527"/>
      <c r="T8" s="525"/>
      <c r="U8" s="526"/>
      <c r="V8" s="526"/>
      <c r="W8" s="527"/>
      <c r="X8" s="525"/>
      <c r="Y8" s="526"/>
      <c r="Z8" s="526"/>
      <c r="AA8" s="527"/>
      <c r="AD8" s="528" t="s">
        <v>398</v>
      </c>
      <c r="AE8" s="529">
        <v>43465</v>
      </c>
      <c r="AF8" s="529">
        <v>43830</v>
      </c>
      <c r="AG8" s="529">
        <v>44196</v>
      </c>
      <c r="AH8" s="529">
        <v>44561</v>
      </c>
      <c r="AI8" s="529">
        <v>44926</v>
      </c>
      <c r="AJ8" s="530">
        <v>45291</v>
      </c>
      <c r="AK8" s="530">
        <v>45657</v>
      </c>
      <c r="AL8" s="531">
        <v>46022</v>
      </c>
    </row>
    <row r="9" spans="1:67" ht="15" customHeight="1" x14ac:dyDescent="0.15">
      <c r="A9" s="506" t="s">
        <v>399</v>
      </c>
      <c r="AD9" s="509"/>
      <c r="AL9" s="508"/>
    </row>
    <row r="10" spans="1:67" s="540" customFormat="1" ht="15" customHeight="1" x14ac:dyDescent="0.15">
      <c r="A10" s="532" t="s">
        <v>259</v>
      </c>
      <c r="B10" s="532"/>
      <c r="C10" s="533"/>
      <c r="D10" s="534"/>
      <c r="E10" s="532"/>
      <c r="F10" s="532"/>
      <c r="G10" s="535">
        <v>2263.3000000000002</v>
      </c>
      <c r="H10" s="536">
        <v>2338.6999999999998</v>
      </c>
      <c r="I10" s="537">
        <v>2343.1</v>
      </c>
      <c r="J10" s="537">
        <v>2331.1999999999998</v>
      </c>
      <c r="K10" s="535">
        <v>2352.6</v>
      </c>
      <c r="L10" s="538">
        <v>2371.4</v>
      </c>
      <c r="M10" s="537">
        <v>2368.6999999999998</v>
      </c>
      <c r="N10" s="537">
        <v>2318.1</v>
      </c>
      <c r="O10" s="535">
        <v>2319.9</v>
      </c>
      <c r="P10" s="536">
        <v>2378.3000000000002</v>
      </c>
      <c r="Q10" s="537">
        <v>2374.4</v>
      </c>
      <c r="R10" s="537">
        <v>2353.6999999999998</v>
      </c>
      <c r="S10" s="535">
        <v>2374.6</v>
      </c>
      <c r="T10" s="536">
        <v>2401.4</v>
      </c>
      <c r="U10" s="537">
        <v>2417.3000000000002</v>
      </c>
      <c r="V10" s="537">
        <v>2388.9</v>
      </c>
      <c r="W10" s="535">
        <v>2411.1</v>
      </c>
      <c r="X10" s="536">
        <v>2459.3000000000002</v>
      </c>
      <c r="Y10" s="537">
        <v>2509.1</v>
      </c>
      <c r="Z10" s="537">
        <v>2525.9</v>
      </c>
      <c r="AA10" s="539"/>
      <c r="AD10" s="534" t="s">
        <v>259</v>
      </c>
      <c r="AF10" s="540">
        <v>9365.5999999999985</v>
      </c>
      <c r="AG10" s="540">
        <v>9378.1</v>
      </c>
      <c r="AH10" s="540">
        <v>9481</v>
      </c>
      <c r="AI10" s="540">
        <v>9618.7000000000007</v>
      </c>
      <c r="AL10" s="539"/>
    </row>
    <row r="11" spans="1:67" ht="15" customHeight="1" outlineLevel="1" x14ac:dyDescent="0.15">
      <c r="A11" s="541" t="s">
        <v>268</v>
      </c>
      <c r="B11" s="542"/>
      <c r="C11" s="543"/>
      <c r="D11" s="544"/>
      <c r="E11" s="542"/>
      <c r="F11" s="542"/>
      <c r="G11" s="535">
        <v>1435.1</v>
      </c>
      <c r="H11" s="545">
        <v>1501.9</v>
      </c>
      <c r="I11" s="546">
        <v>1504.5</v>
      </c>
      <c r="J11" s="546">
        <v>1501.9</v>
      </c>
      <c r="K11" s="547">
        <v>1508.3</v>
      </c>
      <c r="L11" s="548">
        <v>1527.7</v>
      </c>
      <c r="M11" s="546">
        <v>1522.7</v>
      </c>
      <c r="N11" s="546">
        <v>1483.4</v>
      </c>
      <c r="O11" s="547">
        <v>1485.1</v>
      </c>
      <c r="P11" s="545">
        <v>1525.8</v>
      </c>
      <c r="Q11" s="546">
        <v>1522.1</v>
      </c>
      <c r="R11" s="546">
        <v>1500.8</v>
      </c>
      <c r="S11" s="547">
        <v>1529.3</v>
      </c>
      <c r="T11" s="545">
        <v>1544.9</v>
      </c>
      <c r="U11" s="546">
        <v>1572.3</v>
      </c>
      <c r="V11" s="546">
        <v>1559.6</v>
      </c>
      <c r="W11" s="547">
        <v>1581.5</v>
      </c>
      <c r="X11" s="545">
        <v>1609.6</v>
      </c>
      <c r="Y11" s="546">
        <v>1641.4</v>
      </c>
      <c r="Z11" s="546">
        <v>1657.7</v>
      </c>
      <c r="AD11" s="549" t="s">
        <v>268</v>
      </c>
      <c r="AF11" s="550">
        <v>6016.6</v>
      </c>
      <c r="AG11" s="540">
        <v>6018.9</v>
      </c>
      <c r="AH11" s="540">
        <v>6078</v>
      </c>
      <c r="AI11" s="540">
        <v>6258.2999999999993</v>
      </c>
      <c r="AL11" s="508"/>
    </row>
    <row r="12" spans="1:67" s="506" customFormat="1" ht="15" customHeight="1" outlineLevel="1" x14ac:dyDescent="0.15">
      <c r="A12" s="551" t="s">
        <v>387</v>
      </c>
      <c r="B12" s="552"/>
      <c r="C12" s="553"/>
      <c r="D12" s="554"/>
      <c r="E12" s="552"/>
      <c r="F12" s="552"/>
      <c r="G12" s="555"/>
      <c r="H12" s="389">
        <v>4.6547278935265966E-2</v>
      </c>
      <c r="I12" s="291">
        <v>1.7311405552965637E-3</v>
      </c>
      <c r="J12" s="291">
        <v>-1.7281488866732529E-3</v>
      </c>
      <c r="K12" s="309">
        <v>4.2612690591915994E-3</v>
      </c>
      <c r="L12" s="291">
        <v>1.2862162699728232E-2</v>
      </c>
      <c r="M12" s="291">
        <v>-3.272893892779996E-3</v>
      </c>
      <c r="N12" s="291">
        <v>-2.5809417482104125E-2</v>
      </c>
      <c r="O12" s="291">
        <v>1.1460159093972077E-3</v>
      </c>
      <c r="P12" s="291">
        <v>2.7405561915022591E-2</v>
      </c>
      <c r="Q12" s="291">
        <v>-2.4249573993970677E-3</v>
      </c>
      <c r="R12" s="291">
        <v>-1.3993824321660834E-2</v>
      </c>
      <c r="S12" s="291">
        <v>1.8989872068230277E-2</v>
      </c>
      <c r="T12" s="291">
        <v>1.0200745439089869E-2</v>
      </c>
      <c r="U12" s="291">
        <v>1.7735775778367442E-2</v>
      </c>
      <c r="V12" s="291">
        <v>-8.0773389302296293E-3</v>
      </c>
      <c r="W12" s="291">
        <v>1.4042062067196777E-2</v>
      </c>
      <c r="X12" s="291">
        <v>1.7767941827379011E-2</v>
      </c>
      <c r="Y12" s="291">
        <v>1.9756461232604487E-2</v>
      </c>
      <c r="Z12" s="291">
        <v>9.9305470939441663E-3</v>
      </c>
      <c r="AD12" s="556" t="s">
        <v>387</v>
      </c>
      <c r="AF12" s="550"/>
      <c r="AG12" s="387">
        <v>3.8227570388579466E-4</v>
      </c>
      <c r="AH12" s="387">
        <v>9.8190699297214384E-3</v>
      </c>
      <c r="AI12" s="387">
        <v>2.966436327739376E-2</v>
      </c>
      <c r="AL12" s="557"/>
    </row>
    <row r="13" spans="1:67" s="540" customFormat="1" ht="15" customHeight="1" outlineLevel="1" x14ac:dyDescent="0.15">
      <c r="A13" s="558" t="s">
        <v>269</v>
      </c>
      <c r="B13" s="532"/>
      <c r="C13" s="533"/>
      <c r="D13" s="534"/>
      <c r="E13" s="532"/>
      <c r="F13" s="532"/>
      <c r="G13" s="535">
        <v>152.30000000000001</v>
      </c>
      <c r="H13" s="559">
        <v>154</v>
      </c>
      <c r="I13" s="560">
        <v>158.6</v>
      </c>
      <c r="J13" s="560">
        <v>152.30000000000001</v>
      </c>
      <c r="K13" s="561">
        <v>165.6</v>
      </c>
      <c r="L13" s="562">
        <v>164.6</v>
      </c>
      <c r="M13" s="560">
        <v>157.1</v>
      </c>
      <c r="N13" s="560">
        <v>165.4</v>
      </c>
      <c r="O13" s="561">
        <v>165.7</v>
      </c>
      <c r="P13" s="559">
        <v>174.4</v>
      </c>
      <c r="Q13" s="560">
        <v>183.5</v>
      </c>
      <c r="R13" s="560">
        <v>181.6</v>
      </c>
      <c r="S13" s="561">
        <v>177.5</v>
      </c>
      <c r="T13" s="559">
        <v>187.8</v>
      </c>
      <c r="U13" s="560">
        <v>179.4</v>
      </c>
      <c r="V13" s="560">
        <v>173.3</v>
      </c>
      <c r="W13" s="561">
        <v>178.3</v>
      </c>
      <c r="X13" s="559">
        <v>188.6</v>
      </c>
      <c r="Y13" s="560">
        <v>207.9</v>
      </c>
      <c r="Z13" s="560">
        <v>210.6</v>
      </c>
      <c r="AA13" s="563"/>
      <c r="AD13" s="564" t="s">
        <v>269</v>
      </c>
      <c r="AF13" s="550">
        <v>630.5</v>
      </c>
      <c r="AG13" s="540">
        <v>652.79999999999995</v>
      </c>
      <c r="AH13" s="540">
        <v>717</v>
      </c>
      <c r="AI13" s="540">
        <v>718.8</v>
      </c>
      <c r="AL13" s="539"/>
    </row>
    <row r="14" spans="1:67" s="506" customFormat="1" ht="15" customHeight="1" outlineLevel="1" x14ac:dyDescent="0.15">
      <c r="A14" s="551" t="s">
        <v>387</v>
      </c>
      <c r="B14" s="552"/>
      <c r="C14" s="553"/>
      <c r="D14" s="554"/>
      <c r="E14" s="552"/>
      <c r="F14" s="552"/>
      <c r="G14" s="555"/>
      <c r="H14" s="389">
        <v>1.116217990807609E-2</v>
      </c>
      <c r="I14" s="291">
        <v>2.9870129870129832E-2</v>
      </c>
      <c r="J14" s="291">
        <v>-3.9722572509457647E-2</v>
      </c>
      <c r="K14" s="309">
        <v>8.7327642810242828E-2</v>
      </c>
      <c r="L14" s="291">
        <v>-6.038647342995169E-3</v>
      </c>
      <c r="M14" s="291">
        <v>-4.5565006075334147E-2</v>
      </c>
      <c r="N14" s="291">
        <v>5.2832590706556409E-2</v>
      </c>
      <c r="O14" s="291">
        <v>1.8137847642078775E-3</v>
      </c>
      <c r="P14" s="291">
        <v>5.2504526252263234E-2</v>
      </c>
      <c r="Q14" s="291">
        <v>5.2178899082568772E-2</v>
      </c>
      <c r="R14" s="291">
        <v>-1.0354223433242538E-2</v>
      </c>
      <c r="S14" s="291">
        <v>-2.2577092511013187E-2</v>
      </c>
      <c r="T14" s="291">
        <v>5.8028169014084571E-2</v>
      </c>
      <c r="U14" s="291">
        <v>-4.4728434504792358E-2</v>
      </c>
      <c r="V14" s="291">
        <v>-3.4002229654403533E-2</v>
      </c>
      <c r="W14" s="291">
        <v>2.8851702250432775E-2</v>
      </c>
      <c r="X14" s="291">
        <v>5.7767807066741346E-2</v>
      </c>
      <c r="Y14" s="291">
        <v>0.10233297985153771</v>
      </c>
      <c r="Z14" s="291">
        <v>1.2987012987012932E-2</v>
      </c>
      <c r="AD14" s="556" t="s">
        <v>387</v>
      </c>
      <c r="AF14" s="550"/>
      <c r="AG14" s="387">
        <v>3.5368754956383752E-2</v>
      </c>
      <c r="AH14" s="387">
        <v>9.8345588235294198E-2</v>
      </c>
      <c r="AI14" s="387">
        <v>2.5104602510459617E-3</v>
      </c>
      <c r="AL14" s="557"/>
    </row>
    <row r="15" spans="1:67" s="540" customFormat="1" ht="15" customHeight="1" outlineLevel="1" x14ac:dyDescent="0.15">
      <c r="A15" s="558" t="s">
        <v>270</v>
      </c>
      <c r="B15" s="532"/>
      <c r="C15" s="533"/>
      <c r="D15" s="534"/>
      <c r="E15" s="532"/>
      <c r="F15" s="532"/>
      <c r="G15" s="535">
        <v>410.1</v>
      </c>
      <c r="H15" s="536">
        <v>419.3</v>
      </c>
      <c r="I15" s="537">
        <v>420.9</v>
      </c>
      <c r="J15" s="537">
        <v>419.9</v>
      </c>
      <c r="K15" s="535">
        <v>424.9</v>
      </c>
      <c r="L15" s="538">
        <v>434.7</v>
      </c>
      <c r="M15" s="537">
        <v>438.6</v>
      </c>
      <c r="N15" s="537">
        <v>419.9</v>
      </c>
      <c r="O15" s="535">
        <v>418.8</v>
      </c>
      <c r="P15" s="536">
        <v>426.4</v>
      </c>
      <c r="Q15" s="537">
        <v>419.7</v>
      </c>
      <c r="R15" s="537">
        <v>420.8</v>
      </c>
      <c r="S15" s="535">
        <v>423.3</v>
      </c>
      <c r="T15" s="536">
        <v>430.7</v>
      </c>
      <c r="U15" s="537">
        <v>427.6</v>
      </c>
      <c r="V15" s="537">
        <v>423.3</v>
      </c>
      <c r="W15" s="535">
        <v>420.4</v>
      </c>
      <c r="X15" s="536">
        <v>429.5</v>
      </c>
      <c r="Y15" s="537">
        <v>430.6</v>
      </c>
      <c r="Z15" s="537">
        <v>431.2</v>
      </c>
      <c r="AA15" s="565"/>
      <c r="AB15" s="566"/>
      <c r="AC15" s="533"/>
      <c r="AD15" s="564" t="s">
        <v>270</v>
      </c>
      <c r="AF15" s="550">
        <v>1685</v>
      </c>
      <c r="AG15" s="540">
        <v>1711.9999999999998</v>
      </c>
      <c r="AH15" s="540">
        <v>1690.1999999999998</v>
      </c>
      <c r="AI15" s="540">
        <v>1702</v>
      </c>
      <c r="AL15" s="539"/>
    </row>
    <row r="16" spans="1:67" s="506" customFormat="1" ht="15" customHeight="1" outlineLevel="1" x14ac:dyDescent="0.15">
      <c r="A16" s="551" t="s">
        <v>387</v>
      </c>
      <c r="B16" s="552"/>
      <c r="C16" s="553"/>
      <c r="D16" s="554"/>
      <c r="E16" s="552"/>
      <c r="F16" s="552"/>
      <c r="G16" s="555"/>
      <c r="H16" s="389">
        <v>2.2433552792001921E-2</v>
      </c>
      <c r="I16" s="291">
        <v>3.8158836155496442E-3</v>
      </c>
      <c r="J16" s="291">
        <v>-2.3758612497030173E-3</v>
      </c>
      <c r="K16" s="309">
        <v>1.1907597046915934E-2</v>
      </c>
      <c r="L16" s="291">
        <v>2.3064250411861643E-2</v>
      </c>
      <c r="M16" s="291">
        <v>8.9717046238786159E-3</v>
      </c>
      <c r="N16" s="291">
        <v>-4.2635658914728786E-2</v>
      </c>
      <c r="O16" s="291">
        <v>-2.6196713503214238E-3</v>
      </c>
      <c r="P16" s="291">
        <v>1.8147086914995142E-2</v>
      </c>
      <c r="Q16" s="291">
        <v>-1.5712945590994346E-2</v>
      </c>
      <c r="R16" s="291">
        <v>2.6209197045509239E-3</v>
      </c>
      <c r="S16" s="291">
        <v>5.9410646387832696E-3</v>
      </c>
      <c r="T16" s="291">
        <v>1.7481691471769378E-2</v>
      </c>
      <c r="U16" s="291">
        <v>-7.197585326213062E-3</v>
      </c>
      <c r="V16" s="291">
        <v>-1.0056127221702552E-2</v>
      </c>
      <c r="W16" s="291">
        <v>-6.8509331443421546E-3</v>
      </c>
      <c r="X16" s="291">
        <v>2.1646051379638494E-2</v>
      </c>
      <c r="Y16" s="291">
        <v>2.5611175785797968E-3</v>
      </c>
      <c r="Z16" s="291">
        <v>1.3934045517881232E-3</v>
      </c>
      <c r="AD16" s="556" t="s">
        <v>387</v>
      </c>
      <c r="AF16" s="550"/>
      <c r="AG16" s="387">
        <v>1.6023738872403426E-2</v>
      </c>
      <c r="AH16" s="387">
        <v>-1.273364485981306E-2</v>
      </c>
      <c r="AI16" s="387">
        <v>6.9814223168856836E-3</v>
      </c>
      <c r="AL16" s="557"/>
    </row>
    <row r="17" spans="1:38" s="540" customFormat="1" ht="15" customHeight="1" outlineLevel="1" x14ac:dyDescent="0.15">
      <c r="A17" s="558" t="s">
        <v>271</v>
      </c>
      <c r="B17" s="532"/>
      <c r="C17" s="533"/>
      <c r="D17" s="534"/>
      <c r="E17" s="532"/>
      <c r="F17" s="532"/>
      <c r="G17" s="535">
        <v>265.8</v>
      </c>
      <c r="H17" s="536">
        <v>263.5</v>
      </c>
      <c r="I17" s="537">
        <v>259.10000000000002</v>
      </c>
      <c r="J17" s="537">
        <v>257.10000000000002</v>
      </c>
      <c r="K17" s="535">
        <v>253.8</v>
      </c>
      <c r="L17" s="538">
        <v>244.4</v>
      </c>
      <c r="M17" s="537">
        <v>250.3</v>
      </c>
      <c r="N17" s="537">
        <v>249.4</v>
      </c>
      <c r="O17" s="535">
        <v>250.3</v>
      </c>
      <c r="P17" s="536">
        <v>251.7</v>
      </c>
      <c r="Q17" s="537">
        <v>249.1</v>
      </c>
      <c r="R17" s="537">
        <v>250.5</v>
      </c>
      <c r="S17" s="535">
        <v>244.5</v>
      </c>
      <c r="T17" s="536">
        <v>238</v>
      </c>
      <c r="U17" s="537">
        <v>238</v>
      </c>
      <c r="V17" s="537">
        <v>232.7</v>
      </c>
      <c r="W17" s="535">
        <v>230.9</v>
      </c>
      <c r="X17" s="536">
        <v>231.6</v>
      </c>
      <c r="Y17" s="537">
        <v>229.2</v>
      </c>
      <c r="Z17" s="537">
        <v>226.4</v>
      </c>
      <c r="AA17" s="565"/>
      <c r="AD17" s="564" t="s">
        <v>271</v>
      </c>
      <c r="AF17" s="550">
        <v>1033.5</v>
      </c>
      <c r="AG17" s="540">
        <v>994.40000000000009</v>
      </c>
      <c r="AH17" s="540">
        <v>995.8</v>
      </c>
      <c r="AI17" s="540">
        <v>939.6</v>
      </c>
      <c r="AL17" s="539"/>
    </row>
    <row r="18" spans="1:38" s="506" customFormat="1" ht="15" customHeight="1" outlineLevel="1" x14ac:dyDescent="0.15">
      <c r="A18" s="567" t="s">
        <v>387</v>
      </c>
      <c r="B18" s="568"/>
      <c r="C18" s="569"/>
      <c r="D18" s="570"/>
      <c r="E18" s="568"/>
      <c r="F18" s="568"/>
      <c r="G18" s="571"/>
      <c r="H18" s="389">
        <v>-8.6531226486080189E-3</v>
      </c>
      <c r="I18" s="291">
        <v>-1.6698292220113764E-2</v>
      </c>
      <c r="J18" s="291">
        <v>-7.7190274025472783E-3</v>
      </c>
      <c r="K18" s="309">
        <v>-1.283547257876317E-2</v>
      </c>
      <c r="L18" s="291">
        <v>-3.7037037037037056E-2</v>
      </c>
      <c r="M18" s="291">
        <v>2.4140752864157143E-2</v>
      </c>
      <c r="N18" s="291">
        <v>-3.5956851777866785E-3</v>
      </c>
      <c r="O18" s="291">
        <v>3.6086607858861492E-3</v>
      </c>
      <c r="P18" s="291">
        <v>5.593288054334707E-3</v>
      </c>
      <c r="Q18" s="291">
        <v>-1.0329757647993621E-2</v>
      </c>
      <c r="R18" s="291">
        <v>5.6202328382176066E-3</v>
      </c>
      <c r="S18" s="291">
        <v>-2.3952095808383235E-2</v>
      </c>
      <c r="T18" s="291">
        <v>-2.6584867075664622E-2</v>
      </c>
      <c r="U18" s="291">
        <v>0</v>
      </c>
      <c r="V18" s="291">
        <v>-2.2268907563025259E-2</v>
      </c>
      <c r="W18" s="291">
        <v>-7.7352814782981651E-3</v>
      </c>
      <c r="X18" s="291">
        <v>3.0316154179297903E-3</v>
      </c>
      <c r="Y18" s="291">
        <v>-1.0362694300518159E-2</v>
      </c>
      <c r="Z18" s="291">
        <v>-1.2216404886561881E-2</v>
      </c>
      <c r="AD18" s="572" t="s">
        <v>387</v>
      </c>
      <c r="AF18" s="550"/>
      <c r="AG18" s="387">
        <v>-3.7832607643928311E-2</v>
      </c>
      <c r="AH18" s="387">
        <v>1.4078841512468459E-3</v>
      </c>
      <c r="AI18" s="387">
        <v>-5.6437035549307027E-2</v>
      </c>
      <c r="AL18" s="557"/>
    </row>
    <row r="19" spans="1:38" ht="15" customHeight="1" x14ac:dyDescent="0.15">
      <c r="A19" s="573" t="s">
        <v>260</v>
      </c>
      <c r="B19" s="573"/>
      <c r="C19" s="573"/>
      <c r="D19" s="574"/>
      <c r="E19" s="573"/>
      <c r="F19" s="573"/>
      <c r="G19" s="575">
        <v>608.6</v>
      </c>
      <c r="H19" s="576">
        <v>594.70000000000005</v>
      </c>
      <c r="I19" s="577">
        <v>624.9</v>
      </c>
      <c r="J19" s="577">
        <v>599.4</v>
      </c>
      <c r="K19" s="575">
        <v>616.29999999999995</v>
      </c>
      <c r="L19" s="577">
        <v>585</v>
      </c>
      <c r="M19" s="577">
        <v>569</v>
      </c>
      <c r="N19" s="577">
        <v>613.20000000000005</v>
      </c>
      <c r="O19" s="577">
        <v>593.5</v>
      </c>
      <c r="P19" s="577">
        <v>548.70000000000005</v>
      </c>
      <c r="Q19" s="577">
        <v>563.5</v>
      </c>
      <c r="R19" s="577">
        <v>550.20000000000005</v>
      </c>
      <c r="S19" s="577">
        <v>550.79999999999995</v>
      </c>
      <c r="T19" s="577">
        <v>527.20000000000005</v>
      </c>
      <c r="U19" s="577">
        <v>559</v>
      </c>
      <c r="V19" s="577">
        <v>511.6</v>
      </c>
      <c r="W19" s="577">
        <v>524.4</v>
      </c>
      <c r="X19" s="577">
        <v>508.8</v>
      </c>
      <c r="Y19" s="577">
        <v>531.1</v>
      </c>
      <c r="Z19" s="577">
        <v>526</v>
      </c>
      <c r="AA19" s="289"/>
      <c r="AD19" s="574" t="s">
        <v>260</v>
      </c>
      <c r="AF19" s="540">
        <v>2435.3000000000002</v>
      </c>
      <c r="AG19" s="540">
        <v>2360.6999999999998</v>
      </c>
      <c r="AH19" s="540">
        <v>2213.1999999999998</v>
      </c>
      <c r="AI19" s="540">
        <v>2122.2000000000003</v>
      </c>
      <c r="AL19" s="508"/>
    </row>
    <row r="20" spans="1:38" ht="15" customHeight="1" x14ac:dyDescent="0.15">
      <c r="A20" s="578" t="s">
        <v>387</v>
      </c>
      <c r="B20" s="579"/>
      <c r="C20" s="580"/>
      <c r="D20" s="581"/>
      <c r="E20" s="579"/>
      <c r="F20" s="579"/>
      <c r="G20" s="582"/>
      <c r="H20" s="389">
        <v>-2.2839303319092962E-2</v>
      </c>
      <c r="I20" s="291">
        <v>5.0781906843786667E-2</v>
      </c>
      <c r="J20" s="291">
        <v>-4.0806529044647148E-2</v>
      </c>
      <c r="K20" s="309">
        <v>2.8194861528194826E-2</v>
      </c>
      <c r="L20" s="291">
        <v>-5.0786954405322014E-2</v>
      </c>
      <c r="M20" s="291">
        <v>-2.735042735042735E-2</v>
      </c>
      <c r="N20" s="291">
        <v>7.7680140597539624E-2</v>
      </c>
      <c r="O20" s="291">
        <v>-3.2126549249836996E-2</v>
      </c>
      <c r="P20" s="291">
        <v>-7.5484414490311638E-2</v>
      </c>
      <c r="Q20" s="291">
        <v>2.6972844906141706E-2</v>
      </c>
      <c r="R20" s="291">
        <v>-2.3602484472049608E-2</v>
      </c>
      <c r="S20" s="291">
        <v>1.0905125408940549E-3</v>
      </c>
      <c r="T20" s="291">
        <v>-4.2846768336964255E-2</v>
      </c>
      <c r="U20" s="291">
        <v>6.0318664643398995E-2</v>
      </c>
      <c r="V20" s="291">
        <v>-8.4794275491949872E-2</v>
      </c>
      <c r="W20" s="291">
        <v>2.5019546520719221E-2</v>
      </c>
      <c r="X20" s="291">
        <v>-2.9748283752860347E-2</v>
      </c>
      <c r="Y20" s="291">
        <v>4.3828616352201276E-2</v>
      </c>
      <c r="Z20" s="291">
        <v>-9.6027113537940547E-3</v>
      </c>
      <c r="AD20" s="583" t="s">
        <v>387</v>
      </c>
      <c r="AF20" s="540"/>
      <c r="AG20" s="387">
        <v>-3.0632776249332878E-2</v>
      </c>
      <c r="AH20" s="387">
        <v>-6.2481467361375866E-2</v>
      </c>
      <c r="AI20" s="387">
        <v>-4.1116934755105528E-2</v>
      </c>
      <c r="AL20" s="508"/>
    </row>
    <row r="21" spans="1:38" ht="15" customHeight="1" x14ac:dyDescent="0.15">
      <c r="A21" s="542" t="s">
        <v>400</v>
      </c>
      <c r="B21" s="542"/>
      <c r="C21" s="543"/>
      <c r="D21" s="544"/>
      <c r="E21" s="542"/>
      <c r="F21" s="542"/>
      <c r="G21" s="535">
        <v>-41.4</v>
      </c>
      <c r="H21" s="536">
        <v>1.1000000000000001</v>
      </c>
      <c r="I21" s="537">
        <v>-7.3</v>
      </c>
      <c r="J21" s="537">
        <v>-26.200000000000003</v>
      </c>
      <c r="K21" s="535">
        <v>9.1999999999999993</v>
      </c>
      <c r="L21" s="538">
        <v>-144</v>
      </c>
      <c r="M21" s="537">
        <v>33.799999999999997</v>
      </c>
      <c r="N21" s="537">
        <v>4.4000000000000004</v>
      </c>
      <c r="O21" s="535">
        <v>1304.9000000000001</v>
      </c>
      <c r="P21" s="536">
        <v>84.6</v>
      </c>
      <c r="Q21" s="537">
        <v>0.9</v>
      </c>
      <c r="R21" s="537">
        <v>-0.1</v>
      </c>
      <c r="S21" s="535">
        <v>-8.6999999999999993</v>
      </c>
      <c r="T21" s="536">
        <v>-13.8</v>
      </c>
      <c r="U21" s="537">
        <v>-4.0999999999999996</v>
      </c>
      <c r="V21" s="537">
        <v>-4.4000000000000004</v>
      </c>
      <c r="W21" s="535">
        <v>6.6</v>
      </c>
      <c r="X21" s="536">
        <v>0.1</v>
      </c>
      <c r="Y21" s="537">
        <v>0.9</v>
      </c>
      <c r="Z21" s="537">
        <v>-31</v>
      </c>
      <c r="AD21" s="544" t="s">
        <v>400</v>
      </c>
      <c r="AF21" s="540">
        <v>-23.200000000000006</v>
      </c>
      <c r="AG21" s="540">
        <v>1199.1000000000001</v>
      </c>
      <c r="AH21" s="540">
        <v>76.7</v>
      </c>
      <c r="AI21" s="540">
        <v>-15.699999999999998</v>
      </c>
      <c r="AL21" s="508"/>
    </row>
    <row r="22" spans="1:38" ht="15" customHeight="1" x14ac:dyDescent="0.15">
      <c r="A22" s="584" t="s">
        <v>261</v>
      </c>
      <c r="B22" s="584"/>
      <c r="C22" s="585"/>
      <c r="D22" s="586"/>
      <c r="E22" s="584"/>
      <c r="F22" s="584"/>
      <c r="G22" s="547">
        <v>50.3</v>
      </c>
      <c r="H22" s="545">
        <v>53.1</v>
      </c>
      <c r="I22" s="546">
        <v>56</v>
      </c>
      <c r="J22" s="546">
        <v>55.6</v>
      </c>
      <c r="K22" s="547">
        <v>56.5</v>
      </c>
      <c r="L22" s="548">
        <v>58.7</v>
      </c>
      <c r="M22" s="546">
        <v>49.7</v>
      </c>
      <c r="N22" s="546">
        <v>60.6</v>
      </c>
      <c r="O22" s="547">
        <v>55.2</v>
      </c>
      <c r="P22" s="545">
        <v>60.4</v>
      </c>
      <c r="Q22" s="546">
        <v>54.2</v>
      </c>
      <c r="R22" s="546">
        <v>65.900000000000006</v>
      </c>
      <c r="S22" s="547">
        <v>62.4</v>
      </c>
      <c r="T22" s="545">
        <v>65.8</v>
      </c>
      <c r="U22" s="546">
        <v>68.7</v>
      </c>
      <c r="V22" s="546">
        <v>63</v>
      </c>
      <c r="W22" s="547">
        <v>63.6</v>
      </c>
      <c r="X22" s="545">
        <v>67.900000000000006</v>
      </c>
      <c r="Y22" s="546">
        <v>71.099999999999994</v>
      </c>
      <c r="Z22" s="546">
        <v>71.599999999999994</v>
      </c>
      <c r="AD22" s="586" t="s">
        <v>261</v>
      </c>
      <c r="AF22" s="540">
        <v>221.2</v>
      </c>
      <c r="AG22" s="540">
        <v>224.2</v>
      </c>
      <c r="AH22" s="540">
        <v>242.9</v>
      </c>
      <c r="AI22" s="540">
        <v>261.10000000000002</v>
      </c>
      <c r="AL22" s="508"/>
    </row>
    <row r="23" spans="1:38" ht="15" customHeight="1" thickBot="1" x14ac:dyDescent="0.2">
      <c r="A23" s="587" t="s">
        <v>401</v>
      </c>
      <c r="B23" s="587"/>
      <c r="C23" s="588"/>
      <c r="D23" s="589"/>
      <c r="E23" s="587"/>
      <c r="F23" s="587"/>
      <c r="G23" s="590">
        <v>2880.8</v>
      </c>
      <c r="H23" s="591">
        <v>2987.6</v>
      </c>
      <c r="I23" s="590">
        <v>3016.7</v>
      </c>
      <c r="J23" s="590">
        <v>2960</v>
      </c>
      <c r="K23" s="590">
        <v>3034.6</v>
      </c>
      <c r="L23" s="592">
        <v>2871.1</v>
      </c>
      <c r="M23" s="590">
        <v>3021.2</v>
      </c>
      <c r="N23" s="590">
        <v>2996.3</v>
      </c>
      <c r="O23" s="590">
        <v>4273.5</v>
      </c>
      <c r="P23" s="590">
        <v>3072</v>
      </c>
      <c r="Q23" s="590">
        <v>2993</v>
      </c>
      <c r="R23" s="590">
        <v>2969.7</v>
      </c>
      <c r="S23" s="590">
        <v>2979.1</v>
      </c>
      <c r="T23" s="590">
        <v>2980.6000000000004</v>
      </c>
      <c r="U23" s="590">
        <v>3040.9</v>
      </c>
      <c r="V23" s="590">
        <v>2959.1000000000004</v>
      </c>
      <c r="W23" s="590">
        <v>3005.7</v>
      </c>
      <c r="X23" s="590">
        <v>3036.1000000000004</v>
      </c>
      <c r="Y23" s="590">
        <v>3112.2</v>
      </c>
      <c r="Z23" s="590">
        <v>3092.5</v>
      </c>
      <c r="AA23" s="593"/>
      <c r="AD23" s="589" t="s">
        <v>401</v>
      </c>
      <c r="AE23" s="594"/>
      <c r="AF23" s="595">
        <v>11998.9</v>
      </c>
      <c r="AG23" s="595">
        <v>13162.099999999999</v>
      </c>
      <c r="AH23" s="595">
        <v>12013.800000000001</v>
      </c>
      <c r="AI23" s="595">
        <v>11986.3</v>
      </c>
      <c r="AJ23" s="594"/>
      <c r="AK23" s="594"/>
      <c r="AL23" s="593"/>
    </row>
    <row r="24" spans="1:38" s="540" customFormat="1" ht="15" customHeight="1" x14ac:dyDescent="0.15">
      <c r="A24" s="532" t="s">
        <v>262</v>
      </c>
      <c r="B24" s="532"/>
      <c r="C24" s="533"/>
      <c r="D24" s="534"/>
      <c r="E24" s="532"/>
      <c r="F24" s="532"/>
      <c r="G24" s="535">
        <v>1829.5</v>
      </c>
      <c r="H24" s="536">
        <v>1840.8</v>
      </c>
      <c r="I24" s="537">
        <v>1902.6</v>
      </c>
      <c r="J24" s="537">
        <v>1871.5</v>
      </c>
      <c r="K24" s="535">
        <v>1881.3</v>
      </c>
      <c r="L24" s="538">
        <v>1854.8</v>
      </c>
      <c r="M24" s="537">
        <v>1882.8</v>
      </c>
      <c r="N24" s="537">
        <v>1888.6</v>
      </c>
      <c r="O24" s="535">
        <v>3346.7</v>
      </c>
      <c r="P24" s="536">
        <v>2051.1999999999998</v>
      </c>
      <c r="Q24" s="537">
        <v>1854.1</v>
      </c>
      <c r="R24" s="537">
        <v>1753.9</v>
      </c>
      <c r="S24" s="535">
        <v>1939.4</v>
      </c>
      <c r="T24" s="536">
        <v>1914</v>
      </c>
      <c r="U24" s="537">
        <v>1758.1</v>
      </c>
      <c r="V24" s="536">
        <v>1501.5</v>
      </c>
      <c r="W24" s="535">
        <v>1755.4</v>
      </c>
      <c r="X24" s="536">
        <v>1736.4</v>
      </c>
      <c r="Y24" s="536">
        <v>1754.6</v>
      </c>
      <c r="Z24" s="536">
        <v>1947</v>
      </c>
      <c r="AA24" s="539"/>
      <c r="AD24" s="574" t="s">
        <v>262</v>
      </c>
      <c r="AF24" s="540">
        <v>7496.2</v>
      </c>
      <c r="AG24" s="540">
        <v>8972.9</v>
      </c>
      <c r="AH24" s="540">
        <v>7598.6</v>
      </c>
      <c r="AI24" s="540">
        <v>6929</v>
      </c>
      <c r="AL24" s="539"/>
    </row>
    <row r="25" spans="1:38" s="540" customFormat="1" ht="15" customHeight="1" outlineLevel="1" x14ac:dyDescent="0.15">
      <c r="A25" s="558" t="s">
        <v>268</v>
      </c>
      <c r="B25" s="532"/>
      <c r="C25" s="533"/>
      <c r="D25" s="534"/>
      <c r="E25" s="532"/>
      <c r="F25" s="532"/>
      <c r="G25" s="535">
        <v>0</v>
      </c>
      <c r="H25" s="596">
        <v>945.48840000000018</v>
      </c>
      <c r="I25" s="535">
        <v>987.39490000000012</v>
      </c>
      <c r="J25" s="535">
        <v>985.14679999999998</v>
      </c>
      <c r="K25" s="535">
        <v>977.91239999999993</v>
      </c>
      <c r="L25" s="597">
        <v>942.26869999999997</v>
      </c>
      <c r="M25" s="535">
        <v>1030.2759999999998</v>
      </c>
      <c r="N25" s="535">
        <v>657.36390000000006</v>
      </c>
      <c r="O25" s="535">
        <v>0</v>
      </c>
      <c r="P25" s="535">
        <v>1107.1018999999999</v>
      </c>
      <c r="Q25" s="535">
        <v>1064.9951999999998</v>
      </c>
      <c r="R25" s="535">
        <v>1153.4322</v>
      </c>
      <c r="S25" s="535">
        <v>1149.9971</v>
      </c>
      <c r="T25" s="535">
        <v>1069.9816000000001</v>
      </c>
      <c r="U25" s="535">
        <v>961.30770000000007</v>
      </c>
      <c r="V25" s="535">
        <v>972.08489999999983</v>
      </c>
      <c r="W25" s="535">
        <v>1005.0559000000001</v>
      </c>
      <c r="X25" s="535">
        <v>643.20000000000005</v>
      </c>
      <c r="Y25" s="535">
        <v>162.92000000000002</v>
      </c>
      <c r="Z25" s="535">
        <v>166</v>
      </c>
      <c r="AA25" s="539"/>
      <c r="AD25" s="598" t="s">
        <v>268</v>
      </c>
      <c r="AF25" s="540">
        <v>3895.9425000000001</v>
      </c>
      <c r="AG25" s="540">
        <v>2629.9085999999998</v>
      </c>
      <c r="AH25" s="540">
        <v>4475.5264000000006</v>
      </c>
      <c r="AI25" s="540">
        <v>4008.4301000000005</v>
      </c>
      <c r="AL25" s="539"/>
    </row>
    <row r="26" spans="1:38" ht="15" customHeight="1" outlineLevel="1" x14ac:dyDescent="0.15">
      <c r="A26" s="551" t="s">
        <v>387</v>
      </c>
      <c r="B26" s="542"/>
      <c r="C26" s="543"/>
      <c r="D26" s="544"/>
      <c r="E26" s="542"/>
      <c r="F26" s="542"/>
      <c r="G26" s="599"/>
      <c r="H26" s="390">
        <v>6.1765509702104149E-3</v>
      </c>
      <c r="I26" s="390">
        <v>3.3572359843546264E-2</v>
      </c>
      <c r="J26" s="390">
        <v>-1.6346052769893784E-2</v>
      </c>
      <c r="K26" s="391">
        <v>5.2364413572000825E-3</v>
      </c>
      <c r="L26" s="392">
        <v>-1.4086004358688141E-2</v>
      </c>
      <c r="M26" s="390">
        <v>1.5095967220185465E-2</v>
      </c>
      <c r="N26" s="390">
        <v>3.0805183768854655E-3</v>
      </c>
      <c r="O26" s="390">
        <v>0.77205337286879172</v>
      </c>
      <c r="P26" s="390">
        <v>-0.38709773807033798</v>
      </c>
      <c r="Q26" s="390">
        <v>-9.6090093603744112E-2</v>
      </c>
      <c r="R26" s="390">
        <v>-5.4042392535461857E-2</v>
      </c>
      <c r="S26" s="390">
        <v>0.10576429671018872</v>
      </c>
      <c r="T26" s="390">
        <v>-1.309683407239357E-2</v>
      </c>
      <c r="U26" s="390">
        <v>-8.1452455590386677E-2</v>
      </c>
      <c r="V26" s="390">
        <v>-0.14595301746203282</v>
      </c>
      <c r="W26" s="390">
        <v>0.16909756909756915</v>
      </c>
      <c r="X26" s="390">
        <v>-1.0823743876039649E-2</v>
      </c>
      <c r="Y26" s="390">
        <v>1.0481455885740508E-2</v>
      </c>
      <c r="Z26" s="390">
        <v>0.10965462213609946</v>
      </c>
      <c r="AD26" s="600" t="s">
        <v>387</v>
      </c>
      <c r="AF26" s="540"/>
      <c r="AG26" s="390">
        <v>-0.32496216255758403</v>
      </c>
      <c r="AH26" s="390">
        <v>0.70178020635393989</v>
      </c>
      <c r="AI26" s="390">
        <v>-0.10436678465353262</v>
      </c>
      <c r="AL26" s="508"/>
    </row>
    <row r="27" spans="1:38" ht="15" customHeight="1" outlineLevel="1" x14ac:dyDescent="0.15">
      <c r="A27" s="551" t="s">
        <v>273</v>
      </c>
      <c r="B27" s="542"/>
      <c r="C27" s="543"/>
      <c r="D27" s="544"/>
      <c r="E27" s="542"/>
      <c r="F27" s="542"/>
      <c r="G27" s="599"/>
      <c r="H27" s="390">
        <v>0.6295281976163527</v>
      </c>
      <c r="I27" s="390">
        <v>0.65629438351611835</v>
      </c>
      <c r="J27" s="390">
        <v>0.6559336840002663</v>
      </c>
      <c r="K27" s="390">
        <v>0.6483540409732812</v>
      </c>
      <c r="L27" s="390">
        <v>0.61678909471754917</v>
      </c>
      <c r="M27" s="390">
        <v>0.67661128259013581</v>
      </c>
      <c r="N27" s="390">
        <v>0.44314675744910342</v>
      </c>
      <c r="O27" s="390">
        <v>0</v>
      </c>
      <c r="P27" s="390">
        <v>0.72558782278149159</v>
      </c>
      <c r="Q27" s="390">
        <v>0.6996880625451678</v>
      </c>
      <c r="R27" s="390">
        <v>0.76854490938166309</v>
      </c>
      <c r="S27" s="390">
        <v>0.75197613287124832</v>
      </c>
      <c r="T27" s="390">
        <v>0.69258955272185907</v>
      </c>
      <c r="U27" s="390">
        <v>0.6114022133180691</v>
      </c>
      <c r="V27" s="390">
        <v>0.62329116440112842</v>
      </c>
      <c r="W27" s="390">
        <v>0.63550799873537789</v>
      </c>
      <c r="X27" s="390">
        <v>0.39960238568588474</v>
      </c>
      <c r="Y27" s="390">
        <v>9.9256732057999272E-2</v>
      </c>
      <c r="Z27" s="390">
        <v>0.10013874645593292</v>
      </c>
      <c r="AD27" s="600" t="s">
        <v>273</v>
      </c>
      <c r="AF27" s="288">
        <v>0.64753224412458865</v>
      </c>
      <c r="AG27" s="288">
        <v>0.43694173353935101</v>
      </c>
      <c r="AH27" s="288">
        <v>0.73634853570253378</v>
      </c>
      <c r="AI27" s="288">
        <v>0.64049823434479025</v>
      </c>
      <c r="AL27" s="508"/>
    </row>
    <row r="28" spans="1:38" s="540" customFormat="1" ht="15" customHeight="1" outlineLevel="1" x14ac:dyDescent="0.15">
      <c r="A28" s="558" t="s">
        <v>274</v>
      </c>
      <c r="B28" s="532"/>
      <c r="C28" s="533"/>
      <c r="D28" s="534"/>
      <c r="E28" s="532"/>
      <c r="F28" s="532"/>
      <c r="G28" s="535">
        <v>1829.5</v>
      </c>
      <c r="H28" s="596">
        <v>895.31159999999977</v>
      </c>
      <c r="I28" s="535">
        <v>915.20509999999979</v>
      </c>
      <c r="J28" s="535">
        <v>886.35320000000002</v>
      </c>
      <c r="K28" s="535">
        <v>903.38760000000002</v>
      </c>
      <c r="L28" s="597">
        <v>912.53129999999999</v>
      </c>
      <c r="M28" s="535">
        <v>852.52400000000011</v>
      </c>
      <c r="N28" s="535">
        <v>1231.2360999999999</v>
      </c>
      <c r="O28" s="535">
        <v>3346.7</v>
      </c>
      <c r="P28" s="535">
        <v>944.09809999999993</v>
      </c>
      <c r="Q28" s="535">
        <v>789.10480000000007</v>
      </c>
      <c r="R28" s="535">
        <v>600.46780000000012</v>
      </c>
      <c r="S28" s="535">
        <v>789.40290000000005</v>
      </c>
      <c r="T28" s="535">
        <v>844.01839999999993</v>
      </c>
      <c r="U28" s="535">
        <v>796.79229999999984</v>
      </c>
      <c r="V28" s="535">
        <v>529.41510000000017</v>
      </c>
      <c r="W28" s="535">
        <v>750.34410000000003</v>
      </c>
      <c r="X28" s="535">
        <v>1093.2</v>
      </c>
      <c r="Y28" s="535">
        <v>1591.6799999999998</v>
      </c>
      <c r="Z28" s="535">
        <v>1781</v>
      </c>
      <c r="AA28" s="539"/>
      <c r="AD28" s="598" t="s">
        <v>274</v>
      </c>
      <c r="AF28" s="540">
        <v>3600.2574999999997</v>
      </c>
      <c r="AG28" s="540">
        <v>6342.9913999999999</v>
      </c>
      <c r="AH28" s="540">
        <v>3123.0736000000002</v>
      </c>
      <c r="AI28" s="540">
        <v>2920.5699000000004</v>
      </c>
      <c r="AL28" s="539"/>
    </row>
    <row r="29" spans="1:38" ht="15" customHeight="1" outlineLevel="1" x14ac:dyDescent="0.15">
      <c r="A29" s="551" t="s">
        <v>387</v>
      </c>
      <c r="B29" s="542"/>
      <c r="C29" s="543"/>
      <c r="D29" s="544"/>
      <c r="E29" s="542"/>
      <c r="F29" s="542"/>
      <c r="G29" s="599"/>
      <c r="H29" s="390" t="e">
        <v>#DIV/0!</v>
      </c>
      <c r="I29" s="390">
        <v>4.251785067152386E-2</v>
      </c>
      <c r="J29" s="390">
        <v>-5.4960018691549407E-4</v>
      </c>
      <c r="K29" s="391">
        <v>-1.1555502045206795E-2</v>
      </c>
      <c r="L29" s="392">
        <v>-4.8684737444295231E-2</v>
      </c>
      <c r="M29" s="390">
        <v>9.6989697750705955E-2</v>
      </c>
      <c r="N29" s="390">
        <v>-0.3450497074883333</v>
      </c>
      <c r="O29" s="390">
        <v>-1</v>
      </c>
      <c r="P29" s="390" t="e">
        <v>#DIV/0!</v>
      </c>
      <c r="Q29" s="390">
        <v>-3.5694866180414682E-2</v>
      </c>
      <c r="R29" s="390">
        <v>9.8410778348887853E-2</v>
      </c>
      <c r="S29" s="390">
        <v>-2.1558631523231703E-2</v>
      </c>
      <c r="T29" s="390">
        <v>-7.8974022649675346E-2</v>
      </c>
      <c r="U29" s="390">
        <v>-0.11722287621106299</v>
      </c>
      <c r="V29" s="390">
        <v>1.9445384436111521E-2</v>
      </c>
      <c r="W29" s="390">
        <v>1.960052545584802E-2</v>
      </c>
      <c r="X29" s="390">
        <v>-0.37120793682995479</v>
      </c>
      <c r="Y29" s="390">
        <v>-0.75161126256132516</v>
      </c>
      <c r="Z29" s="390">
        <v>8.8861921972028263E-3</v>
      </c>
      <c r="AD29" s="600" t="s">
        <v>387</v>
      </c>
      <c r="AF29" s="540"/>
      <c r="AG29" s="390">
        <v>0.76181603676959231</v>
      </c>
      <c r="AH29" s="390">
        <v>-0.50763395327952043</v>
      </c>
      <c r="AI29" s="390">
        <v>-6.4841155200440925E-2</v>
      </c>
      <c r="AL29" s="508"/>
    </row>
    <row r="30" spans="1:38" ht="15" customHeight="1" outlineLevel="1" x14ac:dyDescent="0.15">
      <c r="A30" s="551" t="s">
        <v>273</v>
      </c>
      <c r="B30" s="542"/>
      <c r="C30" s="543"/>
      <c r="D30" s="544"/>
      <c r="E30" s="542"/>
      <c r="F30" s="542"/>
      <c r="G30" s="599"/>
      <c r="H30" s="390">
        <v>1.0699230401529634</v>
      </c>
      <c r="I30" s="390">
        <v>1.0913487956117336</v>
      </c>
      <c r="J30" s="390">
        <v>1.0687968165923067</v>
      </c>
      <c r="K30" s="390">
        <v>1.0699841288641478</v>
      </c>
      <c r="L30" s="390">
        <v>1.0815826715657224</v>
      </c>
      <c r="M30" s="390">
        <v>1.0077115839243498</v>
      </c>
      <c r="N30" s="390">
        <v>1.4750642146879118</v>
      </c>
      <c r="O30" s="390">
        <v>4.0089841878294203</v>
      </c>
      <c r="P30" s="390">
        <v>1.1074464516129032</v>
      </c>
      <c r="Q30" s="390">
        <v>0.92585333802651659</v>
      </c>
      <c r="R30" s="390">
        <v>0.70403071872435241</v>
      </c>
      <c r="S30" s="390">
        <v>0.93387306281793458</v>
      </c>
      <c r="T30" s="390">
        <v>0.98542720373613535</v>
      </c>
      <c r="U30" s="390">
        <v>0.94294946745562114</v>
      </c>
      <c r="V30" s="390">
        <v>0.63838791752080093</v>
      </c>
      <c r="W30" s="390">
        <v>0.90446492285438773</v>
      </c>
      <c r="X30" s="390">
        <v>1.2865717311992468</v>
      </c>
      <c r="Y30" s="390">
        <v>1.8343667166071222</v>
      </c>
      <c r="Z30" s="390">
        <v>2.05137065192352</v>
      </c>
      <c r="AD30" s="600" t="s">
        <v>273</v>
      </c>
      <c r="AF30" s="390">
        <v>1.0750246342191698</v>
      </c>
      <c r="AG30" s="390">
        <v>1.888244641581329</v>
      </c>
      <c r="AH30" s="390">
        <v>0.917741287099618</v>
      </c>
      <c r="AI30" s="390">
        <v>0.8691137662183076</v>
      </c>
      <c r="AL30" s="508"/>
    </row>
    <row r="31" spans="1:38" s="540" customFormat="1" ht="15" customHeight="1" x14ac:dyDescent="0.15">
      <c r="A31" s="532" t="s">
        <v>402</v>
      </c>
      <c r="B31" s="532"/>
      <c r="C31" s="533"/>
      <c r="D31" s="534"/>
      <c r="E31" s="532"/>
      <c r="F31" s="532"/>
      <c r="G31" s="535">
        <v>275.8</v>
      </c>
      <c r="H31" s="536">
        <v>290.10000000000002</v>
      </c>
      <c r="I31" s="537">
        <v>284.39999999999998</v>
      </c>
      <c r="J31" s="537">
        <v>277.89999999999998</v>
      </c>
      <c r="K31" s="535">
        <v>270.3</v>
      </c>
      <c r="L31" s="538">
        <v>279.2</v>
      </c>
      <c r="M31" s="537">
        <v>273</v>
      </c>
      <c r="N31" s="537">
        <v>258.3</v>
      </c>
      <c r="O31" s="535">
        <v>246.8</v>
      </c>
      <c r="P31" s="536">
        <v>259.89999999999998</v>
      </c>
      <c r="Q31" s="537">
        <v>259.7</v>
      </c>
      <c r="R31" s="537">
        <v>258.3</v>
      </c>
      <c r="S31" s="535">
        <v>260.2</v>
      </c>
      <c r="T31" s="536">
        <v>273.2</v>
      </c>
      <c r="U31" s="537">
        <v>274.39999999999998</v>
      </c>
      <c r="V31" s="537">
        <v>271.5</v>
      </c>
      <c r="W31" s="535">
        <v>267.3</v>
      </c>
      <c r="X31" s="536">
        <v>293.89999999999998</v>
      </c>
      <c r="Y31" s="537">
        <v>286.10000000000002</v>
      </c>
      <c r="Z31" s="537">
        <v>289.7</v>
      </c>
      <c r="AA31" s="539"/>
      <c r="AD31" s="574" t="s">
        <v>402</v>
      </c>
      <c r="AF31" s="540">
        <v>1122.7</v>
      </c>
      <c r="AG31" s="540">
        <v>1057.3</v>
      </c>
      <c r="AH31" s="540">
        <v>1038.0999999999999</v>
      </c>
      <c r="AI31" s="540">
        <v>1086.3999999999999</v>
      </c>
      <c r="AL31" s="539"/>
    </row>
    <row r="32" spans="1:38" s="540" customFormat="1" ht="15" customHeight="1" x14ac:dyDescent="0.15">
      <c r="A32" s="532" t="s">
        <v>263</v>
      </c>
      <c r="B32" s="532"/>
      <c r="C32" s="533"/>
      <c r="D32" s="534"/>
      <c r="E32" s="532"/>
      <c r="F32" s="532"/>
      <c r="G32" s="535">
        <v>-166.2</v>
      </c>
      <c r="H32" s="536">
        <v>-173.7</v>
      </c>
      <c r="I32" s="537">
        <v>-170.3</v>
      </c>
      <c r="J32" s="537">
        <v>-160.6</v>
      </c>
      <c r="K32" s="535">
        <v>-154</v>
      </c>
      <c r="L32" s="538">
        <v>-162</v>
      </c>
      <c r="M32" s="537">
        <v>-149.9</v>
      </c>
      <c r="N32" s="537">
        <v>-134.9</v>
      </c>
      <c r="O32" s="535">
        <v>-129.4</v>
      </c>
      <c r="P32" s="536">
        <v>-130.6</v>
      </c>
      <c r="Q32" s="537">
        <v>-129.69999999999999</v>
      </c>
      <c r="R32" s="537">
        <v>-128.6</v>
      </c>
      <c r="S32" s="535">
        <v>-119.2</v>
      </c>
      <c r="T32" s="536">
        <v>-141.80000000000001</v>
      </c>
      <c r="U32" s="537">
        <v>-137.9</v>
      </c>
      <c r="V32" s="537">
        <v>-139.4</v>
      </c>
      <c r="W32" s="535">
        <v>-137.80000000000001</v>
      </c>
      <c r="X32" s="536">
        <v>-157.69999999999999</v>
      </c>
      <c r="Y32" s="537">
        <v>-156.5</v>
      </c>
      <c r="Z32" s="537">
        <v>-153.30000000000001</v>
      </c>
      <c r="AA32" s="539"/>
      <c r="AD32" s="574" t="s">
        <v>263</v>
      </c>
      <c r="AF32" s="540">
        <v>-658.6</v>
      </c>
      <c r="AG32" s="540">
        <v>-576.19999999999993</v>
      </c>
      <c r="AH32" s="540">
        <v>-508.09999999999997</v>
      </c>
      <c r="AI32" s="540">
        <v>-556.90000000000009</v>
      </c>
      <c r="AL32" s="539"/>
    </row>
    <row r="33" spans="1:38" s="540" customFormat="1" ht="15" customHeight="1" x14ac:dyDescent="0.15">
      <c r="A33" s="532" t="s">
        <v>264</v>
      </c>
      <c r="B33" s="532"/>
      <c r="C33" s="533"/>
      <c r="D33" s="534"/>
      <c r="E33" s="532"/>
      <c r="F33" s="532"/>
      <c r="G33" s="535">
        <v>136.9</v>
      </c>
      <c r="H33" s="536">
        <v>170.6</v>
      </c>
      <c r="I33" s="537">
        <v>151.6</v>
      </c>
      <c r="J33" s="537">
        <v>146.30000000000001</v>
      </c>
      <c r="K33" s="535">
        <v>141.4</v>
      </c>
      <c r="L33" s="538">
        <v>176.2</v>
      </c>
      <c r="M33" s="537">
        <v>140.69999999999999</v>
      </c>
      <c r="N33" s="537">
        <v>149.69999999999999</v>
      </c>
      <c r="O33" s="535">
        <v>139.5</v>
      </c>
      <c r="P33" s="536">
        <v>166.4</v>
      </c>
      <c r="Q33" s="537">
        <v>136</v>
      </c>
      <c r="R33" s="537">
        <v>138.4</v>
      </c>
      <c r="S33" s="535">
        <v>145.30000000000001</v>
      </c>
      <c r="T33" s="536">
        <v>103.6</v>
      </c>
      <c r="U33" s="537">
        <v>142.6</v>
      </c>
      <c r="V33" s="537">
        <v>102.9</v>
      </c>
      <c r="W33" s="535">
        <v>141.5</v>
      </c>
      <c r="X33" s="536">
        <v>115.9</v>
      </c>
      <c r="Y33" s="537">
        <v>113.7</v>
      </c>
      <c r="Z33" s="537">
        <v>129.1</v>
      </c>
      <c r="AA33" s="539"/>
      <c r="AD33" s="574" t="s">
        <v>264</v>
      </c>
      <c r="AF33" s="540">
        <v>609.9</v>
      </c>
      <c r="AG33" s="540">
        <v>606.09999999999991</v>
      </c>
      <c r="AH33" s="540">
        <v>586.09999999999991</v>
      </c>
      <c r="AI33" s="540">
        <v>490.6</v>
      </c>
      <c r="AL33" s="539"/>
    </row>
    <row r="34" spans="1:38" s="540" customFormat="1" ht="15" customHeight="1" x14ac:dyDescent="0.15">
      <c r="A34" s="532" t="s">
        <v>403</v>
      </c>
      <c r="B34" s="532"/>
      <c r="C34" s="533"/>
      <c r="D34" s="534"/>
      <c r="E34" s="532"/>
      <c r="F34" s="532"/>
      <c r="G34" s="535">
        <v>219.8</v>
      </c>
      <c r="H34" s="536">
        <v>226.5</v>
      </c>
      <c r="I34" s="537">
        <v>223.9</v>
      </c>
      <c r="J34" s="537">
        <v>226.5</v>
      </c>
      <c r="K34" s="535">
        <v>221.4</v>
      </c>
      <c r="L34" s="538">
        <v>239.5</v>
      </c>
      <c r="M34" s="537">
        <v>233.2</v>
      </c>
      <c r="N34" s="537">
        <v>253.3</v>
      </c>
      <c r="O34" s="535">
        <v>227.2</v>
      </c>
      <c r="P34" s="536">
        <v>236.9</v>
      </c>
      <c r="Q34" s="537">
        <v>247.4</v>
      </c>
      <c r="R34" s="537">
        <v>241.6</v>
      </c>
      <c r="S34" s="535">
        <v>249.3</v>
      </c>
      <c r="T34" s="536">
        <v>248.3</v>
      </c>
      <c r="U34" s="537">
        <v>259.89999999999998</v>
      </c>
      <c r="V34" s="537">
        <v>285.89999999999998</v>
      </c>
      <c r="W34" s="535">
        <v>295.39999999999998</v>
      </c>
      <c r="X34" s="536">
        <v>275</v>
      </c>
      <c r="Y34" s="537">
        <v>294.39999999999998</v>
      </c>
      <c r="Z34" s="537">
        <v>297.89999999999998</v>
      </c>
      <c r="AA34" s="539"/>
      <c r="AD34" s="574" t="s">
        <v>403</v>
      </c>
      <c r="AF34" s="540">
        <v>898.3</v>
      </c>
      <c r="AG34" s="540">
        <v>953.2</v>
      </c>
      <c r="AH34" s="540">
        <v>975.2</v>
      </c>
      <c r="AI34" s="540">
        <v>1089.5</v>
      </c>
      <c r="AL34" s="539"/>
    </row>
    <row r="35" spans="1:38" s="540" customFormat="1" ht="15" customHeight="1" x14ac:dyDescent="0.15">
      <c r="A35" s="601" t="s">
        <v>265</v>
      </c>
      <c r="B35" s="601"/>
      <c r="C35" s="602"/>
      <c r="D35" s="603"/>
      <c r="E35" s="601"/>
      <c r="F35" s="601"/>
      <c r="G35" s="547">
        <v>233.3</v>
      </c>
      <c r="H35" s="545">
        <v>237.9</v>
      </c>
      <c r="I35" s="546">
        <v>229.9</v>
      </c>
      <c r="J35" s="546">
        <v>252.89999999999998</v>
      </c>
      <c r="K35" s="547">
        <v>248.1</v>
      </c>
      <c r="L35" s="548">
        <v>235.6</v>
      </c>
      <c r="M35" s="546">
        <v>256.3</v>
      </c>
      <c r="N35" s="546">
        <v>232.3</v>
      </c>
      <c r="O35" s="547">
        <v>272.39999999999998</v>
      </c>
      <c r="P35" s="545">
        <v>245</v>
      </c>
      <c r="Q35" s="546">
        <v>317.60000000000002</v>
      </c>
      <c r="R35" s="546">
        <v>251.5</v>
      </c>
      <c r="S35" s="547">
        <v>261.8</v>
      </c>
      <c r="T35" s="545">
        <v>240.7</v>
      </c>
      <c r="U35" s="546">
        <v>253.3</v>
      </c>
      <c r="V35" s="546">
        <v>248.1</v>
      </c>
      <c r="W35" s="547">
        <v>275.8</v>
      </c>
      <c r="X35" s="545">
        <v>273.2</v>
      </c>
      <c r="Y35" s="546">
        <v>272.60000000000002</v>
      </c>
      <c r="Z35" s="546">
        <v>271.8</v>
      </c>
      <c r="AA35" s="539"/>
      <c r="AD35" s="574" t="s">
        <v>265</v>
      </c>
      <c r="AF35" s="540">
        <v>968.80000000000007</v>
      </c>
      <c r="AG35" s="540">
        <v>996.6</v>
      </c>
      <c r="AH35" s="540">
        <v>1075.9000000000001</v>
      </c>
      <c r="AI35" s="540">
        <v>1017.9000000000001</v>
      </c>
      <c r="AL35" s="539"/>
    </row>
    <row r="36" spans="1:38" s="595" customFormat="1" ht="15" customHeight="1" thickBot="1" x14ac:dyDescent="0.2">
      <c r="A36" s="604" t="s">
        <v>404</v>
      </c>
      <c r="B36" s="604"/>
      <c r="C36" s="605"/>
      <c r="D36" s="606"/>
      <c r="E36" s="604"/>
      <c r="F36" s="604"/>
      <c r="G36" s="607">
        <v>351.70000000000005</v>
      </c>
      <c r="H36" s="607">
        <v>395.4</v>
      </c>
      <c r="I36" s="607">
        <v>394.6</v>
      </c>
      <c r="J36" s="607">
        <v>345.5</v>
      </c>
      <c r="K36" s="607">
        <v>426.09999999999991</v>
      </c>
      <c r="L36" s="607">
        <v>247.79999999999995</v>
      </c>
      <c r="M36" s="607">
        <v>385.09999999999991</v>
      </c>
      <c r="N36" s="607">
        <v>349.00000000000023</v>
      </c>
      <c r="O36" s="607">
        <v>170.30000000000018</v>
      </c>
      <c r="P36" s="607">
        <v>243.20000000000016</v>
      </c>
      <c r="Q36" s="607">
        <v>307.90000000000009</v>
      </c>
      <c r="R36" s="607">
        <v>454.59999999999968</v>
      </c>
      <c r="S36" s="607">
        <v>242.29999999999973</v>
      </c>
      <c r="T36" s="607">
        <v>342.60000000000036</v>
      </c>
      <c r="U36" s="607">
        <v>490.50000000000023</v>
      </c>
      <c r="V36" s="607">
        <v>688.60000000000036</v>
      </c>
      <c r="W36" s="607">
        <v>408.09999999999968</v>
      </c>
      <c r="X36" s="607">
        <v>499.40000000000032</v>
      </c>
      <c r="Y36" s="607">
        <v>547.29999999999984</v>
      </c>
      <c r="Z36" s="607">
        <v>310.29999999999995</v>
      </c>
      <c r="AA36" s="608"/>
      <c r="AD36" s="606" t="s">
        <v>404</v>
      </c>
      <c r="AF36" s="595">
        <v>1561.6</v>
      </c>
      <c r="AG36" s="595">
        <v>1152.2000000000003</v>
      </c>
      <c r="AH36" s="595">
        <v>1247.9999999999995</v>
      </c>
      <c r="AI36" s="595">
        <v>1929.8000000000006</v>
      </c>
      <c r="AL36" s="608"/>
    </row>
    <row r="37" spans="1:38" s="540" customFormat="1" ht="15" customHeight="1" x14ac:dyDescent="0.15">
      <c r="A37" s="609" t="s">
        <v>405</v>
      </c>
      <c r="B37" s="609"/>
      <c r="C37" s="610"/>
      <c r="D37" s="611"/>
      <c r="E37" s="609"/>
      <c r="F37" s="609"/>
      <c r="G37" s="612">
        <v>42</v>
      </c>
      <c r="H37" s="613">
        <v>42.1</v>
      </c>
      <c r="I37" s="614">
        <v>42.6</v>
      </c>
      <c r="J37" s="614">
        <v>46.1</v>
      </c>
      <c r="K37" s="612">
        <v>46.6</v>
      </c>
      <c r="L37" s="615">
        <v>45.7</v>
      </c>
      <c r="M37" s="614">
        <v>47.5</v>
      </c>
      <c r="N37" s="614">
        <v>49.4</v>
      </c>
      <c r="O37" s="612">
        <v>45.6</v>
      </c>
      <c r="P37" s="613">
        <v>44.4</v>
      </c>
      <c r="Q37" s="614">
        <v>45.3</v>
      </c>
      <c r="R37" s="614">
        <v>44.7</v>
      </c>
      <c r="S37" s="612">
        <v>50.6</v>
      </c>
      <c r="T37" s="613">
        <v>46.9</v>
      </c>
      <c r="U37" s="614">
        <v>47.4</v>
      </c>
      <c r="V37" s="614">
        <v>47</v>
      </c>
      <c r="W37" s="612">
        <v>47.2</v>
      </c>
      <c r="X37" s="613">
        <v>48.1</v>
      </c>
      <c r="Y37" s="614">
        <v>48.9</v>
      </c>
      <c r="Z37" s="614">
        <v>48.6</v>
      </c>
      <c r="AA37" s="539"/>
      <c r="AD37" s="616"/>
      <c r="AL37" s="539"/>
    </row>
    <row r="38" spans="1:38" s="540" customFormat="1" ht="16.5" customHeight="1" thickBot="1" x14ac:dyDescent="0.2">
      <c r="A38" s="604" t="s">
        <v>406</v>
      </c>
      <c r="B38" s="604"/>
      <c r="C38" s="605"/>
      <c r="D38" s="606"/>
      <c r="E38" s="604"/>
      <c r="F38" s="604"/>
      <c r="G38" s="607">
        <v>309.70000000000005</v>
      </c>
      <c r="H38" s="617">
        <v>353.29999999999995</v>
      </c>
      <c r="I38" s="607">
        <v>352</v>
      </c>
      <c r="J38" s="607">
        <v>299.39999999999998</v>
      </c>
      <c r="K38" s="607">
        <v>379.49999999999989</v>
      </c>
      <c r="L38" s="618">
        <v>202.09999999999997</v>
      </c>
      <c r="M38" s="607">
        <v>337.59999999999991</v>
      </c>
      <c r="N38" s="607">
        <v>299.60000000000025</v>
      </c>
      <c r="O38" s="607">
        <v>124.70000000000019</v>
      </c>
      <c r="P38" s="607">
        <v>198.80000000000015</v>
      </c>
      <c r="Q38" s="607">
        <v>262.60000000000008</v>
      </c>
      <c r="R38" s="607">
        <v>409.89999999999969</v>
      </c>
      <c r="S38" s="607">
        <v>191.69999999999973</v>
      </c>
      <c r="T38" s="607">
        <v>295.70000000000039</v>
      </c>
      <c r="U38" s="607">
        <v>443.10000000000025</v>
      </c>
      <c r="V38" s="607">
        <v>641.60000000000036</v>
      </c>
      <c r="W38" s="607">
        <v>360.89999999999969</v>
      </c>
      <c r="X38" s="607">
        <v>451.3000000000003</v>
      </c>
      <c r="Y38" s="607">
        <v>498.39999999999986</v>
      </c>
      <c r="Z38" s="607">
        <v>261.69999999999993</v>
      </c>
      <c r="AA38" s="608"/>
      <c r="AD38" s="619" t="s">
        <v>405</v>
      </c>
      <c r="AF38" s="540">
        <v>177.4</v>
      </c>
      <c r="AG38" s="540">
        <v>188.2</v>
      </c>
      <c r="AH38" s="540">
        <v>184.99999999999997</v>
      </c>
      <c r="AI38" s="540">
        <v>188.5</v>
      </c>
      <c r="AJ38" s="595"/>
      <c r="AK38" s="595"/>
      <c r="AL38" s="608"/>
    </row>
    <row r="39" spans="1:38" s="540" customFormat="1" ht="15" customHeight="1" thickBot="1" x14ac:dyDescent="0.2">
      <c r="A39" s="601" t="s">
        <v>407</v>
      </c>
      <c r="B39" s="601"/>
      <c r="C39" s="602"/>
      <c r="D39" s="603"/>
      <c r="E39" s="601"/>
      <c r="F39" s="601"/>
      <c r="G39" s="547">
        <v>60.6</v>
      </c>
      <c r="H39" s="545">
        <v>72.400000000000006</v>
      </c>
      <c r="I39" s="546">
        <v>70.8</v>
      </c>
      <c r="J39" s="546">
        <v>57.4</v>
      </c>
      <c r="K39" s="547">
        <v>81.2</v>
      </c>
      <c r="L39" s="548">
        <v>41.1</v>
      </c>
      <c r="M39" s="546">
        <v>72.099999999999994</v>
      </c>
      <c r="N39" s="546">
        <v>68.5</v>
      </c>
      <c r="O39" s="547">
        <v>-10.7</v>
      </c>
      <c r="P39" s="545">
        <v>45.8</v>
      </c>
      <c r="Q39" s="546">
        <v>79.7</v>
      </c>
      <c r="R39" s="546">
        <v>81.3</v>
      </c>
      <c r="S39" s="547">
        <v>32</v>
      </c>
      <c r="T39" s="545">
        <v>55.3</v>
      </c>
      <c r="U39" s="546">
        <v>72.7</v>
      </c>
      <c r="V39" s="546">
        <v>131.30000000000001</v>
      </c>
      <c r="W39" s="547">
        <v>81.3</v>
      </c>
      <c r="X39" s="545">
        <v>93</v>
      </c>
      <c r="Y39" s="546">
        <v>105.5</v>
      </c>
      <c r="Z39" s="546">
        <v>59.7</v>
      </c>
      <c r="AA39" s="539"/>
      <c r="AD39" s="606" t="s">
        <v>406</v>
      </c>
      <c r="AE39" s="595"/>
      <c r="AF39" s="595">
        <v>1384.1999999999998</v>
      </c>
      <c r="AG39" s="595">
        <v>964.00000000000023</v>
      </c>
      <c r="AH39" s="595">
        <v>1062.9999999999998</v>
      </c>
      <c r="AI39" s="595">
        <v>1741.3000000000006</v>
      </c>
      <c r="AL39" s="539"/>
    </row>
    <row r="40" spans="1:38" s="540" customFormat="1" ht="15" customHeight="1" x14ac:dyDescent="0.15">
      <c r="A40" s="573" t="s">
        <v>408</v>
      </c>
      <c r="B40" s="573"/>
      <c r="C40" s="573"/>
      <c r="D40" s="574"/>
      <c r="E40" s="573"/>
      <c r="F40" s="573"/>
      <c r="G40" s="575">
        <v>0</v>
      </c>
      <c r="H40" s="576">
        <v>0</v>
      </c>
      <c r="I40" s="577">
        <v>0</v>
      </c>
      <c r="J40" s="577">
        <v>0</v>
      </c>
      <c r="K40" s="575">
        <v>0</v>
      </c>
      <c r="L40" s="577">
        <v>0</v>
      </c>
      <c r="M40" s="577">
        <v>0</v>
      </c>
      <c r="N40" s="577">
        <v>0</v>
      </c>
      <c r="O40" s="577">
        <v>0</v>
      </c>
      <c r="P40" s="577">
        <v>0</v>
      </c>
      <c r="Q40" s="577">
        <v>0</v>
      </c>
      <c r="R40" s="577">
        <v>0</v>
      </c>
      <c r="S40" s="577">
        <v>0</v>
      </c>
      <c r="T40" s="577">
        <v>0</v>
      </c>
      <c r="U40" s="577">
        <v>0</v>
      </c>
      <c r="V40" s="577">
        <v>0</v>
      </c>
      <c r="W40" s="577">
        <v>0</v>
      </c>
      <c r="X40" s="577">
        <v>0</v>
      </c>
      <c r="Y40" s="577">
        <v>0</v>
      </c>
      <c r="Z40" s="577">
        <v>0</v>
      </c>
      <c r="AD40" s="619" t="s">
        <v>407</v>
      </c>
      <c r="AF40" s="540">
        <v>281.8</v>
      </c>
      <c r="AG40" s="540">
        <v>171</v>
      </c>
      <c r="AH40" s="540">
        <v>238.8</v>
      </c>
      <c r="AI40" s="540">
        <v>340.6</v>
      </c>
      <c r="AL40" s="539"/>
    </row>
    <row r="41" spans="1:38" s="540" customFormat="1" ht="15" customHeight="1" thickBot="1" x14ac:dyDescent="0.2">
      <c r="A41" s="620" t="s">
        <v>99</v>
      </c>
      <c r="B41" s="620"/>
      <c r="C41" s="620"/>
      <c r="D41" s="621"/>
      <c r="E41" s="620"/>
      <c r="F41" s="620"/>
      <c r="G41" s="618">
        <v>249.10000000000005</v>
      </c>
      <c r="H41" s="622">
        <v>280.89999999999998</v>
      </c>
      <c r="I41" s="623">
        <v>281.2</v>
      </c>
      <c r="J41" s="623">
        <v>241.99999999999997</v>
      </c>
      <c r="K41" s="618">
        <v>298.2999999999999</v>
      </c>
      <c r="L41" s="623">
        <v>160.99999999999997</v>
      </c>
      <c r="M41" s="623">
        <v>265.49999999999989</v>
      </c>
      <c r="N41" s="623">
        <v>231.10000000000025</v>
      </c>
      <c r="O41" s="623">
        <v>135.40000000000018</v>
      </c>
      <c r="P41" s="623">
        <v>153.00000000000017</v>
      </c>
      <c r="Q41" s="623">
        <v>182.90000000000009</v>
      </c>
      <c r="R41" s="623">
        <v>328.59999999999968</v>
      </c>
      <c r="S41" s="623">
        <v>159.69999999999973</v>
      </c>
      <c r="T41" s="623">
        <v>240.40000000000038</v>
      </c>
      <c r="U41" s="623">
        <v>370.40000000000026</v>
      </c>
      <c r="V41" s="623">
        <v>510.30000000000035</v>
      </c>
      <c r="W41" s="623">
        <v>279.59999999999968</v>
      </c>
      <c r="X41" s="623">
        <v>358.3000000000003</v>
      </c>
      <c r="Y41" s="623">
        <v>392.89999999999986</v>
      </c>
      <c r="Z41" s="623">
        <v>201.99999999999994</v>
      </c>
      <c r="AD41" s="574" t="s">
        <v>408</v>
      </c>
      <c r="AF41" s="540">
        <v>0</v>
      </c>
      <c r="AG41" s="540">
        <v>0</v>
      </c>
      <c r="AH41" s="540">
        <v>0</v>
      </c>
      <c r="AI41" s="540">
        <v>0</v>
      </c>
      <c r="AJ41" s="624"/>
      <c r="AK41" s="624"/>
      <c r="AL41" s="625"/>
    </row>
    <row r="42" spans="1:38" ht="15" customHeight="1" x14ac:dyDescent="0.15">
      <c r="A42" s="626"/>
      <c r="B42" s="627"/>
      <c r="C42" s="627"/>
      <c r="D42" s="628"/>
      <c r="E42" s="627"/>
      <c r="F42" s="627"/>
      <c r="G42" s="629"/>
      <c r="H42" s="630"/>
      <c r="I42" s="631"/>
      <c r="J42" s="631"/>
      <c r="K42" s="629"/>
      <c r="L42" s="631"/>
      <c r="M42" s="631"/>
      <c r="N42" s="631"/>
      <c r="O42" s="631"/>
      <c r="P42" s="631"/>
      <c r="Q42" s="631"/>
      <c r="R42" s="631"/>
      <c r="S42" s="631"/>
      <c r="T42" s="631"/>
      <c r="U42" s="631"/>
      <c r="V42" s="631"/>
      <c r="W42" s="631"/>
      <c r="X42" s="631"/>
      <c r="Y42" s="631"/>
      <c r="Z42" s="631"/>
      <c r="AA42" s="289"/>
      <c r="AD42" s="632" t="s">
        <v>99</v>
      </c>
      <c r="AE42" s="624"/>
      <c r="AF42" s="624">
        <v>1102.3999999999999</v>
      </c>
      <c r="AG42" s="624">
        <v>793.00000000000034</v>
      </c>
      <c r="AH42" s="624">
        <v>824.1999999999997</v>
      </c>
      <c r="AI42" s="624">
        <v>1400.7000000000007</v>
      </c>
    </row>
    <row r="43" spans="1:38" s="638" customFormat="1" ht="15" customHeight="1" x14ac:dyDescent="0.15">
      <c r="A43" s="267" t="s">
        <v>101</v>
      </c>
      <c r="B43" s="633"/>
      <c r="C43" s="633"/>
      <c r="D43" s="634"/>
      <c r="E43" s="633"/>
      <c r="F43" s="633"/>
      <c r="G43" s="635"/>
      <c r="H43" s="636"/>
      <c r="I43" s="637"/>
      <c r="J43" s="637"/>
      <c r="K43" s="635"/>
      <c r="L43" s="637"/>
      <c r="M43" s="637"/>
      <c r="N43" s="637"/>
      <c r="O43" s="637"/>
      <c r="P43" s="637"/>
      <c r="Q43" s="637"/>
      <c r="R43" s="637"/>
      <c r="S43" s="637"/>
      <c r="T43" s="637"/>
      <c r="U43" s="637"/>
      <c r="V43" s="637"/>
      <c r="W43" s="637"/>
      <c r="X43" s="637"/>
      <c r="Y43" s="637"/>
      <c r="Z43" s="637"/>
      <c r="AD43" s="289"/>
      <c r="AE43" s="289"/>
      <c r="AF43" s="289"/>
      <c r="AG43" s="289"/>
      <c r="AH43" s="289"/>
      <c r="AI43" s="289"/>
    </row>
    <row r="44" spans="1:38" s="638" customFormat="1" ht="15" customHeight="1" x14ac:dyDescent="0.15">
      <c r="A44" s="268" t="s">
        <v>102</v>
      </c>
      <c r="B44" s="633"/>
      <c r="C44" s="633"/>
      <c r="D44" s="634"/>
      <c r="E44" s="633"/>
      <c r="F44" s="633"/>
      <c r="G44" s="635"/>
      <c r="H44" s="636"/>
      <c r="I44" s="637"/>
      <c r="J44" s="637"/>
      <c r="K44" s="635"/>
      <c r="L44" s="637"/>
      <c r="M44" s="637"/>
      <c r="N44" s="637"/>
      <c r="O44" s="637"/>
      <c r="P44" s="637"/>
      <c r="Q44" s="637"/>
      <c r="R44" s="637"/>
      <c r="S44" s="637"/>
      <c r="T44" s="637"/>
      <c r="U44" s="637"/>
      <c r="V44" s="637"/>
      <c r="W44" s="637"/>
      <c r="X44" s="637"/>
      <c r="Y44" s="637"/>
      <c r="Z44" s="637"/>
    </row>
    <row r="45" spans="1:38" s="638" customFormat="1" ht="15" customHeight="1" x14ac:dyDescent="0.15">
      <c r="A45" s="267" t="s">
        <v>103</v>
      </c>
      <c r="B45" s="633"/>
      <c r="C45" s="633"/>
      <c r="D45" s="634"/>
      <c r="E45" s="633"/>
      <c r="F45" s="633"/>
      <c r="G45" s="635"/>
      <c r="H45" s="636"/>
      <c r="I45" s="637"/>
      <c r="J45" s="637"/>
      <c r="K45" s="635"/>
      <c r="L45" s="637"/>
      <c r="M45" s="637"/>
      <c r="N45" s="637"/>
      <c r="O45" s="637"/>
      <c r="P45" s="637"/>
      <c r="Q45" s="637"/>
      <c r="R45" s="637"/>
      <c r="S45" s="637"/>
      <c r="T45" s="637"/>
      <c r="U45" s="637"/>
      <c r="V45" s="637"/>
      <c r="W45" s="637"/>
      <c r="X45" s="637"/>
      <c r="Y45" s="637"/>
      <c r="Z45" s="637"/>
    </row>
    <row r="46" spans="1:38" s="638" customFormat="1" ht="15" customHeight="1" x14ac:dyDescent="0.15">
      <c r="A46" s="268" t="s">
        <v>104</v>
      </c>
      <c r="B46" s="633"/>
      <c r="C46" s="633"/>
      <c r="D46" s="634"/>
      <c r="E46" s="633"/>
      <c r="F46" s="633"/>
      <c r="G46" s="635"/>
      <c r="H46" s="636"/>
      <c r="I46" s="637"/>
      <c r="J46" s="637"/>
      <c r="K46" s="635"/>
      <c r="L46" s="637"/>
      <c r="M46" s="637"/>
      <c r="N46" s="637"/>
      <c r="O46" s="637"/>
      <c r="P46" s="637"/>
      <c r="Q46" s="637"/>
      <c r="R46" s="637"/>
      <c r="S46" s="637"/>
      <c r="T46" s="637"/>
      <c r="U46" s="637"/>
      <c r="V46" s="637"/>
      <c r="W46" s="637"/>
      <c r="X46" s="637"/>
      <c r="Y46" s="637"/>
      <c r="Z46" s="637"/>
    </row>
    <row r="47" spans="1:38" s="269" customFormat="1" ht="15" customHeight="1" x14ac:dyDescent="0.15">
      <c r="A47" s="269" t="s">
        <v>105</v>
      </c>
      <c r="B47" s="393"/>
      <c r="C47" s="393"/>
      <c r="D47" s="394"/>
      <c r="E47" s="393"/>
      <c r="F47" s="393"/>
      <c r="G47" s="395">
        <v>217.4</v>
      </c>
      <c r="H47" s="396">
        <v>214.43</v>
      </c>
      <c r="I47" s="397">
        <v>211.11</v>
      </c>
      <c r="J47" s="397">
        <v>208.02</v>
      </c>
      <c r="K47" s="395">
        <v>206.27</v>
      </c>
      <c r="L47" s="398">
        <v>203.36</v>
      </c>
      <c r="M47" s="397">
        <v>203.67</v>
      </c>
      <c r="N47" s="397">
        <v>203.88</v>
      </c>
      <c r="O47" s="395">
        <v>204.11</v>
      </c>
      <c r="P47" s="396">
        <v>204.74</v>
      </c>
      <c r="Q47" s="397">
        <v>205.27</v>
      </c>
      <c r="R47" s="397">
        <v>205.14</v>
      </c>
      <c r="S47" s="395">
        <v>203.64</v>
      </c>
      <c r="T47" s="396">
        <v>203.5</v>
      </c>
      <c r="U47" s="397">
        <v>202.43</v>
      </c>
      <c r="V47" s="397">
        <v>201.65</v>
      </c>
      <c r="W47" s="395">
        <v>200.88</v>
      </c>
      <c r="X47" s="396">
        <v>199.52</v>
      </c>
      <c r="Y47" s="397">
        <v>198.14</v>
      </c>
      <c r="Z47" s="397">
        <v>197.13</v>
      </c>
      <c r="AA47" s="307">
        <v>0</v>
      </c>
      <c r="AD47" s="638"/>
      <c r="AE47" s="638"/>
      <c r="AF47" s="638"/>
      <c r="AG47" s="638"/>
      <c r="AH47" s="638"/>
      <c r="AI47" s="638"/>
    </row>
    <row r="48" spans="1:38" s="638" customFormat="1" ht="15" customHeight="1" x14ac:dyDescent="0.15">
      <c r="A48" s="271" t="s">
        <v>74</v>
      </c>
      <c r="B48" s="633"/>
      <c r="C48" s="633"/>
      <c r="D48" s="634"/>
      <c r="E48" s="633"/>
      <c r="F48" s="633"/>
      <c r="G48" s="635"/>
      <c r="H48" s="636"/>
      <c r="I48" s="637"/>
      <c r="J48" s="637"/>
      <c r="K48" s="635"/>
      <c r="L48" s="637"/>
      <c r="M48" s="637"/>
      <c r="N48" s="637"/>
      <c r="O48" s="637"/>
      <c r="P48" s="637"/>
      <c r="Q48" s="637"/>
      <c r="R48" s="637"/>
      <c r="S48" s="637"/>
      <c r="T48" s="637"/>
      <c r="U48" s="637"/>
      <c r="V48" s="637"/>
      <c r="W48" s="637"/>
      <c r="X48" s="637"/>
      <c r="Y48" s="637"/>
      <c r="Z48" s="637"/>
      <c r="AD48" s="269"/>
      <c r="AE48" s="269"/>
      <c r="AF48" s="269"/>
      <c r="AG48" s="269"/>
      <c r="AH48" s="269"/>
      <c r="AI48" s="269"/>
    </row>
    <row r="49" spans="1:35" s="638" customFormat="1" ht="15" customHeight="1" x14ac:dyDescent="0.15">
      <c r="A49" s="270" t="s">
        <v>106</v>
      </c>
      <c r="B49" s="633"/>
      <c r="C49" s="633"/>
      <c r="D49" s="634"/>
      <c r="E49" s="633"/>
      <c r="F49" s="633"/>
      <c r="G49" s="635">
        <v>1.1458141674333029</v>
      </c>
      <c r="H49" s="636">
        <v>1.3099846103623558</v>
      </c>
      <c r="I49" s="637">
        <v>1.3320070105632134</v>
      </c>
      <c r="J49" s="637">
        <v>1.1633496779155847</v>
      </c>
      <c r="K49" s="635">
        <v>1.4461627963349002</v>
      </c>
      <c r="L49" s="637">
        <v>0.79169944925255686</v>
      </c>
      <c r="M49" s="637">
        <v>1.3035793194874057</v>
      </c>
      <c r="N49" s="637">
        <v>1.1335099077888966</v>
      </c>
      <c r="O49" s="637">
        <v>0.66336779187692996</v>
      </c>
      <c r="P49" s="637">
        <v>0.74728924489596638</v>
      </c>
      <c r="Q49" s="637">
        <v>0.89102158133190468</v>
      </c>
      <c r="R49" s="637">
        <v>1.6018328946085585</v>
      </c>
      <c r="S49" s="637">
        <v>0.78422706737379566</v>
      </c>
      <c r="T49" s="637">
        <v>1.1813267813267831</v>
      </c>
      <c r="U49" s="637">
        <v>1.8297683149730783</v>
      </c>
      <c r="V49" s="637">
        <v>2.5306223654847524</v>
      </c>
      <c r="W49" s="637">
        <v>1.3918757467144549</v>
      </c>
      <c r="X49" s="637">
        <v>1.7958099438652781</v>
      </c>
      <c r="Y49" s="637">
        <v>1.9829413545977586</v>
      </c>
      <c r="Z49" s="637">
        <v>1.0247045097144014</v>
      </c>
    </row>
    <row r="50" spans="1:35" s="638" customFormat="1" ht="15" customHeight="1" x14ac:dyDescent="0.15">
      <c r="A50" s="271" t="s">
        <v>74</v>
      </c>
      <c r="B50" s="633"/>
      <c r="C50" s="633"/>
      <c r="D50" s="634"/>
      <c r="E50" s="633"/>
      <c r="F50" s="633"/>
      <c r="G50" s="635"/>
      <c r="H50" s="636"/>
      <c r="I50" s="637"/>
      <c r="J50" s="637"/>
      <c r="K50" s="635"/>
      <c r="L50" s="637"/>
      <c r="M50" s="637"/>
      <c r="N50" s="637"/>
      <c r="O50" s="637"/>
      <c r="P50" s="637"/>
      <c r="Q50" s="637"/>
      <c r="R50" s="637"/>
      <c r="S50" s="637"/>
      <c r="T50" s="637"/>
      <c r="U50" s="637"/>
      <c r="V50" s="637"/>
      <c r="W50" s="637"/>
      <c r="X50" s="637"/>
      <c r="Y50" s="637"/>
      <c r="Z50" s="637"/>
    </row>
    <row r="51" spans="1:35" ht="15" customHeight="1" x14ac:dyDescent="0.15">
      <c r="A51" s="627" t="s">
        <v>489</v>
      </c>
      <c r="B51" s="627"/>
      <c r="C51" s="627"/>
      <c r="D51" s="628"/>
      <c r="E51" s="627"/>
      <c r="G51" s="639">
        <v>1.1499999999999999</v>
      </c>
      <c r="H51" s="640">
        <v>1.31</v>
      </c>
      <c r="I51" s="641">
        <v>1.33</v>
      </c>
      <c r="J51" s="641">
        <v>1.1599999999999999</v>
      </c>
      <c r="K51" s="639">
        <v>1.44</v>
      </c>
      <c r="L51" s="642">
        <v>0.79</v>
      </c>
      <c r="M51" s="641">
        <v>1.3</v>
      </c>
      <c r="N51" s="641">
        <v>1.1299999999999999</v>
      </c>
      <c r="O51" s="639">
        <v>0.66</v>
      </c>
      <c r="P51" s="640">
        <v>0.75</v>
      </c>
      <c r="Q51" s="641">
        <v>0.89</v>
      </c>
      <c r="R51" s="641">
        <v>1.6</v>
      </c>
      <c r="S51" s="639">
        <v>0.78</v>
      </c>
      <c r="T51" s="640">
        <v>1.18</v>
      </c>
      <c r="U51" s="641">
        <v>1.83</v>
      </c>
      <c r="V51" s="641">
        <v>2.5299999999999998</v>
      </c>
      <c r="W51" s="639">
        <v>1.39</v>
      </c>
      <c r="X51" s="640">
        <v>1.8</v>
      </c>
      <c r="Y51" s="641">
        <v>1.98</v>
      </c>
      <c r="Z51" s="641">
        <v>1.02</v>
      </c>
      <c r="AA51" s="289"/>
      <c r="AD51" s="638"/>
      <c r="AE51" s="638"/>
      <c r="AF51" s="638"/>
      <c r="AG51" s="638"/>
      <c r="AH51" s="638"/>
      <c r="AI51" s="638"/>
    </row>
    <row r="52" spans="1:35" ht="15" customHeight="1" x14ac:dyDescent="0.15">
      <c r="A52" s="627"/>
      <c r="B52" s="627"/>
      <c r="C52" s="627"/>
      <c r="D52" s="628"/>
      <c r="E52" s="627"/>
      <c r="F52" s="627"/>
      <c r="G52" s="643"/>
      <c r="H52" s="644"/>
      <c r="I52" s="645"/>
      <c r="J52" s="645"/>
      <c r="K52" s="643"/>
      <c r="L52" s="645"/>
      <c r="M52" s="645"/>
      <c r="N52" s="645"/>
      <c r="O52" s="645"/>
      <c r="P52" s="645"/>
      <c r="Q52" s="645"/>
      <c r="R52" s="645"/>
      <c r="S52" s="645"/>
      <c r="T52" s="645"/>
      <c r="U52" s="645"/>
      <c r="V52" s="645"/>
      <c r="W52" s="645"/>
      <c r="X52" s="645"/>
      <c r="Y52" s="645"/>
      <c r="Z52" s="645"/>
      <c r="AA52" s="289"/>
    </row>
    <row r="53" spans="1:35" ht="15" customHeight="1" x14ac:dyDescent="0.15">
      <c r="A53" s="627"/>
      <c r="B53" s="627"/>
      <c r="C53" s="627"/>
      <c r="D53" s="628"/>
      <c r="E53" s="627"/>
      <c r="F53" s="627"/>
      <c r="G53" s="643"/>
      <c r="H53" s="644"/>
      <c r="I53" s="645"/>
      <c r="J53" s="645"/>
      <c r="K53" s="643"/>
      <c r="L53" s="645"/>
      <c r="M53" s="645"/>
      <c r="N53" s="645"/>
      <c r="O53" s="645"/>
      <c r="P53" s="645"/>
      <c r="Q53" s="645"/>
      <c r="R53" s="645"/>
      <c r="S53" s="645"/>
      <c r="T53" s="645"/>
      <c r="U53" s="645"/>
      <c r="V53" s="645"/>
      <c r="W53" s="645"/>
      <c r="X53" s="645"/>
      <c r="Y53" s="645"/>
      <c r="Z53" s="645"/>
      <c r="AA53" s="289"/>
    </row>
    <row r="54" spans="1:35" ht="15" customHeight="1" x14ac:dyDescent="0.15">
      <c r="A54" s="627" t="s">
        <v>409</v>
      </c>
      <c r="B54" s="627"/>
      <c r="C54" s="627"/>
      <c r="D54" s="628"/>
      <c r="E54" s="627"/>
      <c r="F54" s="627"/>
      <c r="G54" s="629"/>
      <c r="H54" s="630"/>
      <c r="I54" s="631"/>
      <c r="J54" s="631"/>
      <c r="K54" s="629"/>
      <c r="L54" s="631"/>
      <c r="M54" s="631"/>
      <c r="N54" s="631"/>
      <c r="O54" s="631"/>
      <c r="P54" s="631"/>
      <c r="Q54" s="631"/>
      <c r="R54" s="631"/>
      <c r="S54" s="631"/>
      <c r="T54" s="631"/>
      <c r="U54" s="631"/>
      <c r="V54" s="631"/>
      <c r="W54" s="631"/>
      <c r="X54" s="631"/>
      <c r="Y54" s="631"/>
      <c r="Z54" s="631"/>
      <c r="AA54" s="289"/>
    </row>
    <row r="55" spans="1:35" s="540" customFormat="1" ht="15" customHeight="1" x14ac:dyDescent="0.15">
      <c r="A55" s="646" t="s">
        <v>410</v>
      </c>
      <c r="B55" s="647"/>
      <c r="C55" s="647"/>
      <c r="D55" s="648"/>
      <c r="E55" s="647"/>
      <c r="F55" s="647"/>
      <c r="G55" s="561">
        <v>43011.7</v>
      </c>
      <c r="H55" s="559">
        <v>44782.6</v>
      </c>
      <c r="I55" s="560">
        <v>46440.2</v>
      </c>
      <c r="J55" s="560">
        <v>47435</v>
      </c>
      <c r="K55" s="561">
        <v>47443.7</v>
      </c>
      <c r="L55" s="562">
        <v>45291.5</v>
      </c>
      <c r="M55" s="560">
        <v>48233.4</v>
      </c>
      <c r="N55" s="560">
        <v>49270.2</v>
      </c>
      <c r="O55" s="560">
        <v>44137.3</v>
      </c>
      <c r="P55" s="560">
        <v>42076</v>
      </c>
      <c r="Q55" s="560">
        <v>43513.8</v>
      </c>
      <c r="R55" s="560">
        <v>43628.3</v>
      </c>
      <c r="S55" s="560">
        <v>43336</v>
      </c>
      <c r="T55" s="560">
        <v>39946</v>
      </c>
      <c r="U55" s="560">
        <v>36576.400000000001</v>
      </c>
      <c r="V55" s="560">
        <v>34148.199999999997</v>
      </c>
      <c r="W55" s="560">
        <v>34840.800000000003</v>
      </c>
      <c r="X55" s="560">
        <v>36160.199999999997</v>
      </c>
      <c r="Y55" s="560">
        <v>35374.1</v>
      </c>
      <c r="Z55" s="560">
        <v>34070.699999999997</v>
      </c>
      <c r="AD55" s="289"/>
      <c r="AE55" s="289"/>
      <c r="AF55" s="289"/>
      <c r="AG55" s="289"/>
      <c r="AH55" s="289"/>
      <c r="AI55" s="289"/>
    </row>
    <row r="56" spans="1:35" s="540" customFormat="1" ht="15" customHeight="1" x14ac:dyDescent="0.15">
      <c r="A56" s="532" t="s">
        <v>411</v>
      </c>
      <c r="B56" s="647"/>
      <c r="C56" s="647"/>
      <c r="D56" s="648"/>
      <c r="E56" s="647"/>
      <c r="F56" s="647"/>
      <c r="G56" s="535">
        <v>2295</v>
      </c>
      <c r="H56" s="536">
        <v>2206.6</v>
      </c>
      <c r="I56" s="537">
        <v>2218.9</v>
      </c>
      <c r="J56" s="537">
        <v>2321.6999999999998</v>
      </c>
      <c r="K56" s="535">
        <v>2397</v>
      </c>
      <c r="L56" s="538">
        <v>2452.1</v>
      </c>
      <c r="M56" s="537">
        <v>2434.4</v>
      </c>
      <c r="N56" s="537">
        <v>2406.5</v>
      </c>
      <c r="O56" s="537">
        <v>2432.1</v>
      </c>
      <c r="P56" s="537">
        <v>2402.1999999999998</v>
      </c>
      <c r="Q56" s="537">
        <v>2387.1</v>
      </c>
      <c r="R56" s="537">
        <v>2499.4</v>
      </c>
      <c r="S56" s="537">
        <v>2560.4</v>
      </c>
      <c r="T56" s="537">
        <v>2529.5</v>
      </c>
      <c r="U56" s="537">
        <v>2490.6999999999998</v>
      </c>
      <c r="V56" s="537">
        <v>2476.4</v>
      </c>
      <c r="W56" s="537">
        <v>2435.4</v>
      </c>
      <c r="X56" s="537">
        <v>2390</v>
      </c>
      <c r="Y56" s="537">
        <v>2372.8000000000002</v>
      </c>
      <c r="Z56" s="537">
        <v>2321.5</v>
      </c>
    </row>
    <row r="57" spans="1:35" s="540" customFormat="1" ht="15" customHeight="1" x14ac:dyDescent="0.15">
      <c r="A57" s="532" t="s">
        <v>412</v>
      </c>
      <c r="B57" s="647"/>
      <c r="C57" s="647"/>
      <c r="D57" s="648"/>
      <c r="E57" s="647"/>
      <c r="F57" s="647"/>
      <c r="G57" s="535">
        <v>3729.9</v>
      </c>
      <c r="H57" s="536">
        <v>3673.3</v>
      </c>
      <c r="I57" s="537">
        <v>3633.1</v>
      </c>
      <c r="J57" s="537">
        <v>3763.6</v>
      </c>
      <c r="K57" s="535">
        <v>3779.5</v>
      </c>
      <c r="L57" s="538">
        <v>3743.5</v>
      </c>
      <c r="M57" s="537">
        <v>3684</v>
      </c>
      <c r="N57" s="537">
        <v>3669.1</v>
      </c>
      <c r="O57" s="537">
        <v>3683.9</v>
      </c>
      <c r="P57" s="537">
        <v>3628.8</v>
      </c>
      <c r="Q57" s="537">
        <v>3608.5</v>
      </c>
      <c r="R57" s="537">
        <v>3691.4</v>
      </c>
      <c r="S57" s="537">
        <v>3662.9</v>
      </c>
      <c r="T57" s="537">
        <v>3573.5</v>
      </c>
      <c r="U57" s="537">
        <v>3524.3</v>
      </c>
      <c r="V57" s="537">
        <v>3640.8</v>
      </c>
      <c r="W57" s="537">
        <v>3601.2</v>
      </c>
      <c r="X57" s="537">
        <v>3552.5</v>
      </c>
      <c r="Y57" s="537">
        <v>3493.3</v>
      </c>
      <c r="Z57" s="537">
        <v>3596.6</v>
      </c>
    </row>
    <row r="58" spans="1:35" s="540" customFormat="1" ht="15" customHeight="1" x14ac:dyDescent="0.15">
      <c r="A58" s="532" t="s">
        <v>413</v>
      </c>
      <c r="B58" s="647"/>
      <c r="C58" s="647"/>
      <c r="D58" s="648"/>
      <c r="E58" s="647"/>
      <c r="F58" s="647"/>
      <c r="G58" s="535">
        <v>702.9</v>
      </c>
      <c r="H58" s="536">
        <v>696.7</v>
      </c>
      <c r="I58" s="537">
        <v>735</v>
      </c>
      <c r="J58" s="537">
        <v>752.3</v>
      </c>
      <c r="K58" s="535">
        <v>844.2</v>
      </c>
      <c r="L58" s="538">
        <v>917.5</v>
      </c>
      <c r="M58" s="537">
        <v>933.9</v>
      </c>
      <c r="N58" s="537">
        <v>931</v>
      </c>
      <c r="O58" s="537">
        <v>960.2</v>
      </c>
      <c r="P58" s="537">
        <v>995.3</v>
      </c>
      <c r="Q58" s="537">
        <v>1062.9000000000001</v>
      </c>
      <c r="R58" s="537">
        <v>1124.5</v>
      </c>
      <c r="S58" s="537">
        <v>1203</v>
      </c>
      <c r="T58" s="537">
        <v>1280.4000000000001</v>
      </c>
      <c r="U58" s="537">
        <v>1391.6</v>
      </c>
      <c r="V58" s="537">
        <v>1430.4</v>
      </c>
      <c r="W58" s="537">
        <v>1440.1</v>
      </c>
      <c r="X58" s="537">
        <v>1479.4</v>
      </c>
      <c r="Y58" s="537">
        <v>1503.2</v>
      </c>
      <c r="Z58" s="537">
        <v>1506.9</v>
      </c>
    </row>
    <row r="59" spans="1:35" s="540" customFormat="1" ht="15" customHeight="1" x14ac:dyDescent="0.15">
      <c r="A59" s="601" t="s">
        <v>414</v>
      </c>
      <c r="B59" s="647"/>
      <c r="C59" s="647"/>
      <c r="D59" s="648"/>
      <c r="E59" s="647"/>
      <c r="F59" s="647"/>
      <c r="G59" s="547">
        <v>968.1</v>
      </c>
      <c r="H59" s="545">
        <v>1194.4000000000001</v>
      </c>
      <c r="I59" s="546">
        <v>1367.2</v>
      </c>
      <c r="J59" s="546">
        <v>1312.8</v>
      </c>
      <c r="K59" s="547">
        <v>1294.5</v>
      </c>
      <c r="L59" s="548">
        <v>1384.4</v>
      </c>
      <c r="M59" s="546">
        <v>2601.9</v>
      </c>
      <c r="N59" s="546">
        <v>2086.6999999999998</v>
      </c>
      <c r="O59" s="546">
        <v>1470</v>
      </c>
      <c r="P59" s="546">
        <v>756.1</v>
      </c>
      <c r="Q59" s="546">
        <v>1596.6</v>
      </c>
      <c r="R59" s="546">
        <v>1472.7</v>
      </c>
      <c r="S59" s="546">
        <v>1388</v>
      </c>
      <c r="T59" s="546">
        <v>1295.5</v>
      </c>
      <c r="U59" s="546">
        <v>1336.1</v>
      </c>
      <c r="V59" s="546">
        <v>1183.2</v>
      </c>
      <c r="W59" s="546">
        <v>1394.8</v>
      </c>
      <c r="X59" s="546">
        <v>1322.8</v>
      </c>
      <c r="Y59" s="546">
        <v>1652.8</v>
      </c>
      <c r="Z59" s="546">
        <v>1487.2</v>
      </c>
    </row>
    <row r="60" spans="1:35" s="650" customFormat="1" ht="15" customHeight="1" thickBot="1" x14ac:dyDescent="0.2">
      <c r="A60" s="604" t="s">
        <v>415</v>
      </c>
      <c r="B60" s="620"/>
      <c r="C60" s="620"/>
      <c r="D60" s="621"/>
      <c r="E60" s="620"/>
      <c r="F60" s="620"/>
      <c r="G60" s="618">
        <v>50707.6</v>
      </c>
      <c r="H60" s="622">
        <v>52553.599999999999</v>
      </c>
      <c r="I60" s="623">
        <v>54394.399999999994</v>
      </c>
      <c r="J60" s="623">
        <v>55585.4</v>
      </c>
      <c r="K60" s="618">
        <v>55758.899999999994</v>
      </c>
      <c r="L60" s="623">
        <v>53789</v>
      </c>
      <c r="M60" s="623">
        <v>57887.600000000006</v>
      </c>
      <c r="N60" s="623">
        <v>58363.499999999993</v>
      </c>
      <c r="O60" s="623">
        <v>52683.5</v>
      </c>
      <c r="P60" s="623">
        <v>49858.400000000001</v>
      </c>
      <c r="Q60" s="623">
        <v>52168.9</v>
      </c>
      <c r="R60" s="623">
        <v>52416.3</v>
      </c>
      <c r="S60" s="623">
        <v>52150.3</v>
      </c>
      <c r="T60" s="623">
        <v>48624.9</v>
      </c>
      <c r="U60" s="623">
        <v>45319.1</v>
      </c>
      <c r="V60" s="623">
        <v>42879</v>
      </c>
      <c r="W60" s="623">
        <v>43712.3</v>
      </c>
      <c r="X60" s="623">
        <v>44904.9</v>
      </c>
      <c r="Y60" s="623">
        <v>44396.200000000004</v>
      </c>
      <c r="Z60" s="623">
        <v>42982.899999999994</v>
      </c>
      <c r="AA60" s="649"/>
      <c r="AD60" s="540"/>
      <c r="AE60" s="540"/>
      <c r="AF60" s="540"/>
      <c r="AG60" s="540"/>
      <c r="AH60" s="540"/>
      <c r="AI60" s="540"/>
    </row>
    <row r="61" spans="1:35" s="540" customFormat="1" ht="15" customHeight="1" x14ac:dyDescent="0.15">
      <c r="A61" s="573" t="s">
        <v>276</v>
      </c>
      <c r="B61" s="647"/>
      <c r="C61" s="647"/>
      <c r="D61" s="648"/>
      <c r="E61" s="647"/>
      <c r="F61" s="647"/>
      <c r="G61" s="575">
        <v>94</v>
      </c>
      <c r="H61" s="576">
        <v>62.1</v>
      </c>
      <c r="I61" s="577">
        <v>60.8</v>
      </c>
      <c r="J61" s="577">
        <v>77</v>
      </c>
      <c r="K61" s="575">
        <v>84.1</v>
      </c>
      <c r="L61" s="577">
        <v>337.2</v>
      </c>
      <c r="M61" s="577">
        <v>165.6</v>
      </c>
      <c r="N61" s="577">
        <v>103.8</v>
      </c>
      <c r="O61" s="577">
        <v>197</v>
      </c>
      <c r="P61" s="577">
        <v>561.79999999999995</v>
      </c>
      <c r="Q61" s="577">
        <v>123.1</v>
      </c>
      <c r="R61" s="577">
        <v>121.7</v>
      </c>
      <c r="S61" s="577">
        <v>75</v>
      </c>
      <c r="T61" s="577">
        <v>106.6</v>
      </c>
      <c r="U61" s="577">
        <v>151.4</v>
      </c>
      <c r="V61" s="577">
        <v>143.30000000000001</v>
      </c>
      <c r="W61" s="577">
        <v>119.2</v>
      </c>
      <c r="X61" s="577">
        <v>123.1</v>
      </c>
      <c r="Y61" s="577">
        <v>108.3</v>
      </c>
      <c r="Z61" s="577">
        <v>165.9</v>
      </c>
      <c r="AD61" s="650"/>
      <c r="AE61" s="650"/>
      <c r="AF61" s="650"/>
      <c r="AG61" s="650"/>
      <c r="AH61" s="650"/>
      <c r="AI61" s="650"/>
    </row>
    <row r="62" spans="1:35" s="540" customFormat="1" ht="15" customHeight="1" x14ac:dyDescent="0.15">
      <c r="A62" s="532" t="s">
        <v>281</v>
      </c>
      <c r="B62" s="647"/>
      <c r="C62" s="647"/>
      <c r="D62" s="648"/>
      <c r="E62" s="647"/>
      <c r="F62" s="647"/>
      <c r="G62" s="535">
        <v>1615.5</v>
      </c>
      <c r="H62" s="536">
        <v>1712.2</v>
      </c>
      <c r="I62" s="537">
        <v>1716.4</v>
      </c>
      <c r="J62" s="537">
        <v>1675.8</v>
      </c>
      <c r="K62" s="535">
        <v>1602.9</v>
      </c>
      <c r="L62" s="538">
        <v>1639.6</v>
      </c>
      <c r="M62" s="537">
        <v>1625.5</v>
      </c>
      <c r="N62" s="537">
        <v>1577.9</v>
      </c>
      <c r="O62" s="537">
        <v>1519.3</v>
      </c>
      <c r="P62" s="537">
        <v>1656.1</v>
      </c>
      <c r="Q62" s="537">
        <v>1627.6</v>
      </c>
      <c r="R62" s="537">
        <v>1545.9</v>
      </c>
      <c r="S62" s="537">
        <v>1519.9</v>
      </c>
      <c r="T62" s="537">
        <v>1571.6</v>
      </c>
      <c r="U62" s="537">
        <v>1563.9</v>
      </c>
      <c r="V62" s="537">
        <v>1475.4</v>
      </c>
      <c r="W62" s="537">
        <v>1482.1</v>
      </c>
      <c r="X62" s="537">
        <v>1557.1</v>
      </c>
      <c r="Y62" s="537">
        <v>1605.5</v>
      </c>
      <c r="Z62" s="537">
        <v>1507.7</v>
      </c>
    </row>
    <row r="63" spans="1:35" s="540" customFormat="1" ht="15" customHeight="1" x14ac:dyDescent="0.15">
      <c r="A63" s="532" t="s">
        <v>277</v>
      </c>
      <c r="B63" s="647"/>
      <c r="C63" s="647"/>
      <c r="D63" s="648"/>
      <c r="E63" s="647"/>
      <c r="F63" s="647"/>
      <c r="G63" s="535">
        <v>4662.3999999999996</v>
      </c>
      <c r="H63" s="536">
        <v>4717.7</v>
      </c>
      <c r="I63" s="537">
        <v>4752.8</v>
      </c>
      <c r="J63" s="537">
        <v>4807.2</v>
      </c>
      <c r="K63" s="535">
        <v>4780.7</v>
      </c>
      <c r="L63" s="538">
        <v>4666.2</v>
      </c>
      <c r="M63" s="537">
        <v>4786.2</v>
      </c>
      <c r="N63" s="537">
        <v>4895.8999999999996</v>
      </c>
      <c r="O63" s="537">
        <v>10666</v>
      </c>
      <c r="P63" s="537">
        <v>11550.2</v>
      </c>
      <c r="Q63" s="537">
        <v>11303.4</v>
      </c>
      <c r="R63" s="537">
        <v>11105.8</v>
      </c>
      <c r="S63" s="537">
        <v>10919.3</v>
      </c>
      <c r="T63" s="537">
        <v>10640.3</v>
      </c>
      <c r="U63" s="537">
        <v>10377.700000000001</v>
      </c>
      <c r="V63" s="537">
        <v>10289.700000000001</v>
      </c>
      <c r="W63" s="537">
        <v>9608</v>
      </c>
      <c r="X63" s="537">
        <v>9628.7000000000007</v>
      </c>
      <c r="Y63" s="537">
        <v>9383.1</v>
      </c>
      <c r="Z63" s="537">
        <v>8855.2000000000007</v>
      </c>
    </row>
    <row r="64" spans="1:35" s="540" customFormat="1" ht="15" customHeight="1" x14ac:dyDescent="0.15">
      <c r="A64" s="532" t="s">
        <v>278</v>
      </c>
      <c r="B64" s="647"/>
      <c r="C64" s="647"/>
      <c r="D64" s="648"/>
      <c r="E64" s="647"/>
      <c r="F64" s="647"/>
      <c r="G64" s="535">
        <v>690.6</v>
      </c>
      <c r="H64" s="536">
        <v>742.2</v>
      </c>
      <c r="I64" s="537">
        <v>803.2</v>
      </c>
      <c r="J64" s="537">
        <v>695.8</v>
      </c>
      <c r="K64" s="535">
        <v>693</v>
      </c>
      <c r="L64" s="538">
        <v>748.5</v>
      </c>
      <c r="M64" s="537">
        <v>802.7</v>
      </c>
      <c r="N64" s="537">
        <v>676.9</v>
      </c>
      <c r="O64" s="537">
        <v>611.4</v>
      </c>
      <c r="P64" s="537">
        <v>668.7</v>
      </c>
      <c r="Q64" s="537">
        <v>722.2</v>
      </c>
      <c r="R64" s="537">
        <v>598.20000000000005</v>
      </c>
      <c r="S64" s="537">
        <v>602.70000000000005</v>
      </c>
      <c r="T64" s="537">
        <v>658.5</v>
      </c>
      <c r="U64" s="537">
        <v>705.6</v>
      </c>
      <c r="V64" s="537">
        <v>717.2</v>
      </c>
      <c r="W64" s="537">
        <v>615</v>
      </c>
      <c r="X64" s="537">
        <v>636.1</v>
      </c>
      <c r="Y64" s="537">
        <v>715.1</v>
      </c>
      <c r="Z64" s="537">
        <v>704.9</v>
      </c>
    </row>
    <row r="65" spans="1:35" s="540" customFormat="1" ht="15" customHeight="1" x14ac:dyDescent="0.15">
      <c r="A65" s="532" t="s">
        <v>279</v>
      </c>
      <c r="B65" s="647"/>
      <c r="C65" s="647"/>
      <c r="D65" s="648"/>
      <c r="E65" s="647"/>
      <c r="F65" s="647"/>
      <c r="G65" s="535">
        <v>2309.4</v>
      </c>
      <c r="H65" s="536">
        <v>2298.1999999999998</v>
      </c>
      <c r="I65" s="537">
        <v>2301.9</v>
      </c>
      <c r="J65" s="537">
        <v>2307.6</v>
      </c>
      <c r="K65" s="535">
        <v>2324</v>
      </c>
      <c r="L65" s="538">
        <v>2333.3000000000002</v>
      </c>
      <c r="M65" s="537">
        <v>2310.8000000000002</v>
      </c>
      <c r="N65" s="537">
        <v>2291.1999999999998</v>
      </c>
      <c r="O65" s="537">
        <v>2272.6</v>
      </c>
      <c r="P65" s="537">
        <v>2254.8000000000002</v>
      </c>
      <c r="Q65" s="537">
        <v>2235.6999999999998</v>
      </c>
      <c r="R65" s="537">
        <v>2231.5</v>
      </c>
      <c r="S65" s="537">
        <v>2207.9</v>
      </c>
      <c r="T65" s="537">
        <v>2229.1999999999998</v>
      </c>
      <c r="U65" s="537">
        <v>2247.6</v>
      </c>
      <c r="V65" s="537">
        <v>2254.6</v>
      </c>
      <c r="W65" s="537">
        <v>2560</v>
      </c>
      <c r="X65" s="537">
        <v>2602.4</v>
      </c>
      <c r="Y65" s="537">
        <v>2647.2</v>
      </c>
      <c r="Z65" s="537">
        <v>2668.7</v>
      </c>
    </row>
    <row r="66" spans="1:35" s="540" customFormat="1" ht="15" customHeight="1" x14ac:dyDescent="0.15">
      <c r="A66" s="532" t="s">
        <v>416</v>
      </c>
      <c r="B66" s="647"/>
      <c r="C66" s="647"/>
      <c r="D66" s="648"/>
      <c r="E66" s="647"/>
      <c r="F66" s="647"/>
      <c r="G66" s="535">
        <v>350.3</v>
      </c>
      <c r="H66" s="536">
        <v>351</v>
      </c>
      <c r="I66" s="537">
        <v>350.1</v>
      </c>
      <c r="J66" s="537">
        <v>348.6</v>
      </c>
      <c r="K66" s="535">
        <v>351.7</v>
      </c>
      <c r="L66" s="538">
        <v>348.8</v>
      </c>
      <c r="M66" s="537">
        <v>348.9</v>
      </c>
      <c r="N66" s="537">
        <v>350.6</v>
      </c>
      <c r="O66" s="537">
        <v>353</v>
      </c>
      <c r="P66" s="537">
        <v>353</v>
      </c>
      <c r="Q66" s="537">
        <v>353.3</v>
      </c>
      <c r="R66" s="537">
        <v>352.1</v>
      </c>
      <c r="S66" s="537">
        <v>352.2</v>
      </c>
      <c r="T66" s="537">
        <v>350.8</v>
      </c>
      <c r="U66" s="537">
        <v>347.7</v>
      </c>
      <c r="V66" s="537">
        <v>344.4</v>
      </c>
      <c r="W66" s="537">
        <v>347.6</v>
      </c>
      <c r="X66" s="537">
        <v>348.4</v>
      </c>
      <c r="Y66" s="537">
        <v>349.7</v>
      </c>
      <c r="Z66" s="537">
        <v>347.9</v>
      </c>
    </row>
    <row r="67" spans="1:35" s="540" customFormat="1" ht="15" customHeight="1" x14ac:dyDescent="0.15">
      <c r="A67" s="532" t="s">
        <v>417</v>
      </c>
      <c r="B67" s="647"/>
      <c r="C67" s="647"/>
      <c r="D67" s="648"/>
      <c r="E67" s="647"/>
      <c r="F67" s="647"/>
      <c r="G67" s="535">
        <v>546.9</v>
      </c>
      <c r="H67" s="536">
        <v>548.20000000000005</v>
      </c>
      <c r="I67" s="537">
        <v>556.1</v>
      </c>
      <c r="J67" s="537">
        <v>568.29999999999995</v>
      </c>
      <c r="K67" s="535">
        <v>534.1</v>
      </c>
      <c r="L67" s="538">
        <v>540.70000000000005</v>
      </c>
      <c r="M67" s="537">
        <v>518.1</v>
      </c>
      <c r="N67" s="537">
        <v>508.8</v>
      </c>
      <c r="O67" s="537">
        <v>498</v>
      </c>
      <c r="P67" s="537">
        <v>500.6</v>
      </c>
      <c r="Q67" s="537">
        <v>499.8</v>
      </c>
      <c r="R67" s="537">
        <v>462.5</v>
      </c>
      <c r="S67" s="537">
        <v>462.7</v>
      </c>
      <c r="T67" s="537">
        <v>454.9</v>
      </c>
      <c r="U67" s="537">
        <v>447.5</v>
      </c>
      <c r="V67" s="537">
        <v>442.4</v>
      </c>
      <c r="W67" s="537">
        <v>451.7</v>
      </c>
      <c r="X67" s="537">
        <v>456.1</v>
      </c>
      <c r="Y67" s="537">
        <v>460</v>
      </c>
      <c r="Z67" s="537">
        <v>463.3</v>
      </c>
    </row>
    <row r="68" spans="1:35" s="540" customFormat="1" ht="15" customHeight="1" x14ac:dyDescent="0.15">
      <c r="A68" s="532" t="s">
        <v>280</v>
      </c>
      <c r="B68" s="647"/>
      <c r="C68" s="647"/>
      <c r="D68" s="648"/>
      <c r="E68" s="647"/>
      <c r="F68" s="647"/>
      <c r="G68" s="535">
        <v>789</v>
      </c>
      <c r="H68" s="536">
        <v>906.3</v>
      </c>
      <c r="I68" s="537">
        <v>908</v>
      </c>
      <c r="J68" s="537">
        <v>890</v>
      </c>
      <c r="K68" s="535">
        <v>884</v>
      </c>
      <c r="L68" s="538">
        <v>885.3</v>
      </c>
      <c r="M68" s="537">
        <v>859.8</v>
      </c>
      <c r="N68" s="537">
        <v>847.4</v>
      </c>
      <c r="O68" s="537">
        <v>1752.3</v>
      </c>
      <c r="P68" s="537">
        <v>1809.7</v>
      </c>
      <c r="Q68" s="537">
        <v>1773.9</v>
      </c>
      <c r="R68" s="537">
        <v>1763.9</v>
      </c>
      <c r="S68" s="537">
        <v>1825.6</v>
      </c>
      <c r="T68" s="537">
        <v>1834.9</v>
      </c>
      <c r="U68" s="537">
        <v>1810.7</v>
      </c>
      <c r="V68" s="537">
        <v>1797.6</v>
      </c>
      <c r="W68" s="537">
        <v>1666.6</v>
      </c>
      <c r="X68" s="537">
        <v>1677.2</v>
      </c>
      <c r="Y68" s="537">
        <v>1656.4</v>
      </c>
      <c r="Z68" s="537">
        <v>1640.9</v>
      </c>
    </row>
    <row r="69" spans="1:35" s="540" customFormat="1" ht="15" customHeight="1" x14ac:dyDescent="0.15">
      <c r="A69" s="601" t="s">
        <v>291</v>
      </c>
      <c r="B69" s="647"/>
      <c r="C69" s="647"/>
      <c r="D69" s="648"/>
      <c r="E69" s="647"/>
      <c r="F69" s="647"/>
      <c r="G69" s="547">
        <v>109.9</v>
      </c>
      <c r="H69" s="545">
        <v>30.2</v>
      </c>
      <c r="I69" s="546">
        <v>0</v>
      </c>
      <c r="J69" s="546">
        <v>0</v>
      </c>
      <c r="K69" s="547">
        <v>0</v>
      </c>
      <c r="L69" s="548">
        <v>47.3</v>
      </c>
      <c r="M69" s="546">
        <v>0</v>
      </c>
      <c r="N69" s="546">
        <v>0</v>
      </c>
      <c r="O69" s="546">
        <v>72.7</v>
      </c>
      <c r="P69" s="546">
        <v>43.3</v>
      </c>
      <c r="Q69" s="546">
        <v>0</v>
      </c>
      <c r="R69" s="546">
        <v>0</v>
      </c>
      <c r="S69" s="546">
        <v>0</v>
      </c>
      <c r="T69" s="546">
        <v>0</v>
      </c>
      <c r="U69" s="546">
        <v>149.9</v>
      </c>
      <c r="V69" s="546">
        <v>523.1</v>
      </c>
      <c r="W69" s="546">
        <v>586</v>
      </c>
      <c r="X69" s="546">
        <v>489.8</v>
      </c>
      <c r="Y69" s="546">
        <v>582.9</v>
      </c>
      <c r="Z69" s="546">
        <v>617.1</v>
      </c>
    </row>
    <row r="70" spans="1:35" s="540" customFormat="1" ht="15" customHeight="1" thickBot="1" x14ac:dyDescent="0.2">
      <c r="A70" s="604" t="s">
        <v>116</v>
      </c>
      <c r="B70" s="620"/>
      <c r="C70" s="620"/>
      <c r="D70" s="621"/>
      <c r="E70" s="620"/>
      <c r="F70" s="620"/>
      <c r="G70" s="618">
        <v>61875.6</v>
      </c>
      <c r="H70" s="622">
        <v>63921.7</v>
      </c>
      <c r="I70" s="623">
        <v>65843.7</v>
      </c>
      <c r="J70" s="623">
        <v>66955.7</v>
      </c>
      <c r="K70" s="618">
        <v>67013.399999999994</v>
      </c>
      <c r="L70" s="623">
        <v>65335.899999999994</v>
      </c>
      <c r="M70" s="623">
        <v>69305.200000000012</v>
      </c>
      <c r="N70" s="623">
        <v>69615.999999999985</v>
      </c>
      <c r="O70" s="623">
        <v>70625.8</v>
      </c>
      <c r="P70" s="623">
        <v>69256.600000000006</v>
      </c>
      <c r="Q70" s="623">
        <v>70807.899999999994</v>
      </c>
      <c r="R70" s="623">
        <v>70597.900000000009</v>
      </c>
      <c r="S70" s="623">
        <v>70115.600000000006</v>
      </c>
      <c r="T70" s="623">
        <v>66471.7</v>
      </c>
      <c r="U70" s="623">
        <v>63121.100000000006</v>
      </c>
      <c r="V70" s="623">
        <v>60866.7</v>
      </c>
      <c r="W70" s="623">
        <v>61148.5</v>
      </c>
      <c r="X70" s="623">
        <v>62423.8</v>
      </c>
      <c r="Y70" s="623">
        <v>61904.400000000009</v>
      </c>
      <c r="Z70" s="623">
        <v>59954.499999999993</v>
      </c>
    </row>
    <row r="71" spans="1:35" ht="16.5" customHeight="1" x14ac:dyDescent="0.15">
      <c r="A71" s="542" t="s">
        <v>286</v>
      </c>
      <c r="B71" s="627"/>
      <c r="C71" s="627"/>
      <c r="D71" s="628"/>
      <c r="E71" s="627"/>
      <c r="F71" s="627"/>
      <c r="G71" s="535">
        <v>1695.7</v>
      </c>
      <c r="H71" s="536">
        <v>1708.6</v>
      </c>
      <c r="I71" s="537">
        <v>1751.4</v>
      </c>
      <c r="J71" s="537">
        <v>1720.5</v>
      </c>
      <c r="K71" s="535">
        <v>1745.5</v>
      </c>
      <c r="L71" s="538">
        <v>1760.3</v>
      </c>
      <c r="M71" s="537">
        <v>1778.8</v>
      </c>
      <c r="N71" s="537">
        <v>1801.6</v>
      </c>
      <c r="O71" s="537">
        <v>1855.4</v>
      </c>
      <c r="P71" s="537">
        <v>1899.3</v>
      </c>
      <c r="Q71" s="537">
        <v>1890.4</v>
      </c>
      <c r="R71" s="537">
        <v>1920.4</v>
      </c>
      <c r="S71" s="537">
        <v>1907.7</v>
      </c>
      <c r="T71" s="537">
        <v>1874.2</v>
      </c>
      <c r="U71" s="537">
        <v>1815.9</v>
      </c>
      <c r="V71" s="537">
        <v>1771.4</v>
      </c>
      <c r="W71" s="537">
        <v>5740.2</v>
      </c>
      <c r="X71" s="537">
        <v>5709.6</v>
      </c>
      <c r="Y71" s="537">
        <v>5692.4</v>
      </c>
      <c r="Z71" s="537">
        <v>5744.5</v>
      </c>
      <c r="AA71" s="289"/>
      <c r="AD71" s="540"/>
      <c r="AE71" s="540"/>
      <c r="AF71" s="540"/>
      <c r="AG71" s="540"/>
      <c r="AH71" s="540"/>
      <c r="AI71" s="540"/>
    </row>
    <row r="72" spans="1:35" ht="14" x14ac:dyDescent="0.15">
      <c r="A72" s="542" t="s">
        <v>287</v>
      </c>
      <c r="B72" s="627"/>
      <c r="C72" s="627"/>
      <c r="D72" s="628"/>
      <c r="E72" s="627"/>
      <c r="F72" s="627"/>
      <c r="G72" s="535">
        <v>44841.9</v>
      </c>
      <c r="H72" s="536">
        <v>46109.4</v>
      </c>
      <c r="I72" s="537">
        <v>47138.3</v>
      </c>
      <c r="J72" s="537">
        <v>48060.800000000003</v>
      </c>
      <c r="K72" s="535">
        <v>47780.1</v>
      </c>
      <c r="L72" s="538">
        <v>45706.5</v>
      </c>
      <c r="M72" s="537">
        <v>48335.1</v>
      </c>
      <c r="N72" s="537">
        <v>48844.3</v>
      </c>
      <c r="O72" s="537">
        <v>49653</v>
      </c>
      <c r="P72" s="537">
        <v>48112.3</v>
      </c>
      <c r="Q72" s="537">
        <v>48952</v>
      </c>
      <c r="R72" s="537">
        <v>48475.7</v>
      </c>
      <c r="S72" s="537">
        <v>48007.5</v>
      </c>
      <c r="T72" s="537">
        <v>45258</v>
      </c>
      <c r="U72" s="537">
        <v>43088</v>
      </c>
      <c r="V72" s="537">
        <v>42108.7</v>
      </c>
      <c r="W72" s="537">
        <v>38577.1</v>
      </c>
      <c r="X72" s="537">
        <v>39351.5</v>
      </c>
      <c r="Y72" s="537">
        <v>38945.300000000003</v>
      </c>
      <c r="Z72" s="537">
        <v>36502.400000000001</v>
      </c>
      <c r="AA72" s="289"/>
    </row>
    <row r="73" spans="1:35" ht="14" x14ac:dyDescent="0.15">
      <c r="A73" s="542" t="s">
        <v>288</v>
      </c>
      <c r="B73" s="627"/>
      <c r="C73" s="627"/>
      <c r="D73" s="628"/>
      <c r="E73" s="627"/>
      <c r="F73" s="627"/>
      <c r="G73" s="535">
        <v>363.3</v>
      </c>
      <c r="H73" s="536">
        <v>417.7</v>
      </c>
      <c r="I73" s="537">
        <v>448.3</v>
      </c>
      <c r="J73" s="537">
        <v>408.2</v>
      </c>
      <c r="K73" s="535">
        <v>363.9</v>
      </c>
      <c r="L73" s="538">
        <v>414.1</v>
      </c>
      <c r="M73" s="537">
        <v>440.8</v>
      </c>
      <c r="N73" s="537">
        <v>404.3</v>
      </c>
      <c r="O73" s="537">
        <v>349.3</v>
      </c>
      <c r="P73" s="537">
        <v>425</v>
      </c>
      <c r="Q73" s="537">
        <v>461.1</v>
      </c>
      <c r="R73" s="537">
        <v>414.3</v>
      </c>
      <c r="S73" s="537">
        <v>347.5</v>
      </c>
      <c r="T73" s="537">
        <v>431.9</v>
      </c>
      <c r="U73" s="537">
        <v>437</v>
      </c>
      <c r="V73" s="537">
        <v>394</v>
      </c>
      <c r="W73" s="537">
        <v>365.5</v>
      </c>
      <c r="X73" s="537">
        <v>451.6</v>
      </c>
      <c r="Y73" s="537">
        <v>494.7</v>
      </c>
      <c r="Z73" s="537">
        <v>447.2</v>
      </c>
      <c r="AA73" s="289"/>
    </row>
    <row r="74" spans="1:35" ht="15" customHeight="1" x14ac:dyDescent="0.15">
      <c r="A74" s="542" t="s">
        <v>289</v>
      </c>
      <c r="B74" s="627"/>
      <c r="C74" s="627"/>
      <c r="D74" s="628"/>
      <c r="E74" s="627"/>
      <c r="F74" s="627"/>
      <c r="G74" s="535">
        <v>1594.8</v>
      </c>
      <c r="H74" s="536">
        <v>1608.2</v>
      </c>
      <c r="I74" s="537">
        <v>1597</v>
      </c>
      <c r="J74" s="537">
        <v>1588.6</v>
      </c>
      <c r="K74" s="535">
        <v>1599.7</v>
      </c>
      <c r="L74" s="538">
        <v>1599.3</v>
      </c>
      <c r="M74" s="537">
        <v>1649.4</v>
      </c>
      <c r="N74" s="537">
        <v>1626.6</v>
      </c>
      <c r="O74" s="537">
        <v>1663.9</v>
      </c>
      <c r="P74" s="537">
        <v>1736.1</v>
      </c>
      <c r="Q74" s="537">
        <v>1751</v>
      </c>
      <c r="R74" s="537">
        <v>1763.1</v>
      </c>
      <c r="S74" s="537">
        <v>1790.9</v>
      </c>
      <c r="T74" s="537">
        <v>1816.9</v>
      </c>
      <c r="U74" s="537">
        <v>1778.8</v>
      </c>
      <c r="V74" s="537">
        <v>1756</v>
      </c>
      <c r="W74" s="537">
        <v>1750.4</v>
      </c>
      <c r="X74" s="537">
        <v>1726.9</v>
      </c>
      <c r="Y74" s="537">
        <v>1701.5</v>
      </c>
      <c r="Z74" s="537">
        <v>1631.9</v>
      </c>
      <c r="AA74" s="289"/>
    </row>
    <row r="75" spans="1:35" ht="15" customHeight="1" x14ac:dyDescent="0.15">
      <c r="A75" s="542" t="s">
        <v>290</v>
      </c>
      <c r="B75" s="627"/>
      <c r="C75" s="627"/>
      <c r="D75" s="628"/>
      <c r="E75" s="627"/>
      <c r="F75" s="627"/>
      <c r="G75" s="535">
        <v>24</v>
      </c>
      <c r="H75" s="536">
        <v>268.3</v>
      </c>
      <c r="I75" s="537">
        <v>250.2</v>
      </c>
      <c r="J75" s="537">
        <v>224</v>
      </c>
      <c r="K75" s="535">
        <v>256.7</v>
      </c>
      <c r="L75" s="538">
        <v>268.89999999999998</v>
      </c>
      <c r="M75" s="537">
        <v>357.9</v>
      </c>
      <c r="N75" s="537">
        <v>395.1</v>
      </c>
      <c r="O75" s="537">
        <v>0</v>
      </c>
      <c r="P75" s="537">
        <v>0</v>
      </c>
      <c r="Q75" s="537">
        <v>69</v>
      </c>
      <c r="R75" s="537">
        <v>40.700000000000003</v>
      </c>
      <c r="S75" s="537">
        <v>159.1</v>
      </c>
      <c r="T75" s="537">
        <v>227.2</v>
      </c>
      <c r="U75" s="537">
        <v>232.6</v>
      </c>
      <c r="V75" s="537">
        <v>212.2</v>
      </c>
      <c r="W75" s="537">
        <v>190.9</v>
      </c>
      <c r="X75" s="537">
        <v>240.6</v>
      </c>
      <c r="Y75" s="537">
        <v>179.1</v>
      </c>
      <c r="Z75" s="537">
        <v>267.2</v>
      </c>
      <c r="AA75" s="289"/>
    </row>
    <row r="76" spans="1:35" ht="15" customHeight="1" x14ac:dyDescent="0.15">
      <c r="A76" s="542" t="s">
        <v>418</v>
      </c>
      <c r="B76" s="627"/>
      <c r="C76" s="627"/>
      <c r="D76" s="628"/>
      <c r="E76" s="627"/>
      <c r="F76" s="627"/>
      <c r="G76" s="535">
        <v>0</v>
      </c>
      <c r="H76" s="536">
        <v>0</v>
      </c>
      <c r="I76" s="537">
        <v>37</v>
      </c>
      <c r="J76" s="537">
        <v>64.099999999999994</v>
      </c>
      <c r="K76" s="535">
        <v>95.4</v>
      </c>
      <c r="L76" s="538">
        <v>93.7</v>
      </c>
      <c r="M76" s="537">
        <v>155.6</v>
      </c>
      <c r="N76" s="537">
        <v>210.5</v>
      </c>
      <c r="O76" s="537">
        <v>416.1</v>
      </c>
      <c r="P76" s="537">
        <v>319.2</v>
      </c>
      <c r="Q76" s="537">
        <v>405.4</v>
      </c>
      <c r="R76" s="537">
        <v>424.8</v>
      </c>
      <c r="S76" s="537">
        <v>458.4</v>
      </c>
      <c r="T76" s="537">
        <v>202.8</v>
      </c>
      <c r="U76" s="537">
        <v>5.8</v>
      </c>
      <c r="V76" s="537">
        <v>6.5</v>
      </c>
      <c r="W76" s="537">
        <v>27.2</v>
      </c>
      <c r="X76" s="537">
        <v>25.8</v>
      </c>
      <c r="Y76" s="537">
        <v>23.9</v>
      </c>
      <c r="Z76" s="537">
        <v>27.1</v>
      </c>
      <c r="AA76" s="289"/>
    </row>
    <row r="77" spans="1:35" ht="15" customHeight="1" x14ac:dyDescent="0.15">
      <c r="A77" s="542" t="s">
        <v>419</v>
      </c>
      <c r="B77" s="627"/>
      <c r="C77" s="627"/>
      <c r="D77" s="628"/>
      <c r="E77" s="627"/>
      <c r="F77" s="627"/>
      <c r="G77" s="535">
        <v>2971.3</v>
      </c>
      <c r="H77" s="536">
        <v>2958.7</v>
      </c>
      <c r="I77" s="537">
        <v>3341.2</v>
      </c>
      <c r="J77" s="537">
        <v>3037.6</v>
      </c>
      <c r="K77" s="535">
        <v>2926.9</v>
      </c>
      <c r="L77" s="538">
        <v>2914.3</v>
      </c>
      <c r="M77" s="537">
        <v>3393.1</v>
      </c>
      <c r="N77" s="537">
        <v>3378.6</v>
      </c>
      <c r="O77" s="537">
        <v>3345.7</v>
      </c>
      <c r="P77" s="537">
        <v>3346.8</v>
      </c>
      <c r="Q77" s="537">
        <v>3441.4</v>
      </c>
      <c r="R77" s="537">
        <v>3441.4</v>
      </c>
      <c r="S77" s="537">
        <v>3442.2</v>
      </c>
      <c r="T77" s="537">
        <v>3442.9</v>
      </c>
      <c r="U77" s="537">
        <v>3442.8</v>
      </c>
      <c r="V77" s="537">
        <v>3429.2</v>
      </c>
      <c r="W77" s="537">
        <v>3427.8</v>
      </c>
      <c r="X77" s="537">
        <v>3428.5</v>
      </c>
      <c r="Y77" s="537">
        <v>3429.1</v>
      </c>
      <c r="Z77" s="537">
        <v>3429.8</v>
      </c>
      <c r="AA77" s="289"/>
    </row>
    <row r="78" spans="1:35" ht="15" customHeight="1" x14ac:dyDescent="0.15">
      <c r="A78" s="584" t="s">
        <v>292</v>
      </c>
      <c r="B78" s="627"/>
      <c r="C78" s="627"/>
      <c r="D78" s="628"/>
      <c r="E78" s="627"/>
      <c r="F78" s="627"/>
      <c r="G78" s="547">
        <v>1762.8</v>
      </c>
      <c r="H78" s="545">
        <v>1790.3</v>
      </c>
      <c r="I78" s="546">
        <v>1827.2</v>
      </c>
      <c r="J78" s="546">
        <v>2220.2999999999997</v>
      </c>
      <c r="K78" s="547">
        <v>2280.1999999999998</v>
      </c>
      <c r="L78" s="548">
        <v>2775.7000000000003</v>
      </c>
      <c r="M78" s="546">
        <v>2633.1</v>
      </c>
      <c r="N78" s="546">
        <v>2062.8000000000002</v>
      </c>
      <c r="O78" s="546">
        <v>2471.4</v>
      </c>
      <c r="P78" s="546">
        <v>2847.8</v>
      </c>
      <c r="Q78" s="546">
        <v>2890.1</v>
      </c>
      <c r="R78" s="546">
        <v>2999.3</v>
      </c>
      <c r="S78" s="546">
        <v>2585.9</v>
      </c>
      <c r="T78" s="546">
        <v>2594.6999999999998</v>
      </c>
      <c r="U78" s="546">
        <v>2615.1</v>
      </c>
      <c r="V78" s="546">
        <v>2529.1999999999998</v>
      </c>
      <c r="W78" s="546">
        <v>2334.4</v>
      </c>
      <c r="X78" s="546">
        <v>2241.9</v>
      </c>
      <c r="Y78" s="546">
        <v>2192.5</v>
      </c>
      <c r="Z78" s="546">
        <v>2286.3000000000002</v>
      </c>
      <c r="AA78" s="289"/>
    </row>
    <row r="79" spans="1:35" ht="15" customHeight="1" thickBot="1" x14ac:dyDescent="0.2">
      <c r="A79" s="651" t="s">
        <v>123</v>
      </c>
      <c r="B79" s="652"/>
      <c r="C79" s="652"/>
      <c r="D79" s="653"/>
      <c r="E79" s="652"/>
      <c r="F79" s="652"/>
      <c r="G79" s="618">
        <v>53253.80000000001</v>
      </c>
      <c r="H79" s="622">
        <v>54861.2</v>
      </c>
      <c r="I79" s="623">
        <v>56390.6</v>
      </c>
      <c r="J79" s="623">
        <v>57324.1</v>
      </c>
      <c r="K79" s="618">
        <v>57048.399999999994</v>
      </c>
      <c r="L79" s="623">
        <v>55532.800000000003</v>
      </c>
      <c r="M79" s="623">
        <v>58743.8</v>
      </c>
      <c r="N79" s="623">
        <v>58723.8</v>
      </c>
      <c r="O79" s="623">
        <v>59754.8</v>
      </c>
      <c r="P79" s="623">
        <v>58686.500000000007</v>
      </c>
      <c r="Q79" s="623">
        <v>59860.4</v>
      </c>
      <c r="R79" s="623">
        <v>59479.700000000004</v>
      </c>
      <c r="S79" s="623">
        <v>58699.199999999997</v>
      </c>
      <c r="T79" s="623">
        <v>55848.6</v>
      </c>
      <c r="U79" s="623">
        <v>53416.000000000007</v>
      </c>
      <c r="V79" s="623">
        <v>52207.19999999999</v>
      </c>
      <c r="W79" s="623">
        <v>52413.5</v>
      </c>
      <c r="X79" s="623">
        <v>53176.4</v>
      </c>
      <c r="Y79" s="623">
        <v>52658.5</v>
      </c>
      <c r="Z79" s="623">
        <v>50336.4</v>
      </c>
      <c r="AA79" s="289"/>
    </row>
    <row r="80" spans="1:35" s="406" customFormat="1" ht="15" customHeight="1" x14ac:dyDescent="0.15">
      <c r="A80" s="399" t="s">
        <v>420</v>
      </c>
      <c r="B80" s="400"/>
      <c r="C80" s="400"/>
      <c r="D80" s="401"/>
      <c r="E80" s="400"/>
      <c r="F80" s="400"/>
      <c r="G80" s="402">
        <v>30.5</v>
      </c>
      <c r="H80" s="403">
        <v>30.5</v>
      </c>
      <c r="I80" s="404">
        <v>30.6</v>
      </c>
      <c r="J80" s="404">
        <v>30.6</v>
      </c>
      <c r="K80" s="402">
        <v>30.6</v>
      </c>
      <c r="L80" s="405">
        <v>30.6</v>
      </c>
      <c r="M80" s="404">
        <v>30.6</v>
      </c>
      <c r="N80" s="404">
        <v>30.7</v>
      </c>
      <c r="O80" s="404">
        <v>30.7</v>
      </c>
      <c r="P80" s="404">
        <v>30.7</v>
      </c>
      <c r="Q80" s="404">
        <v>30.7</v>
      </c>
      <c r="R80" s="404">
        <v>30.7</v>
      </c>
      <c r="S80" s="404">
        <v>30.7</v>
      </c>
      <c r="T80" s="404">
        <v>30.8</v>
      </c>
      <c r="U80" s="404">
        <v>30.8</v>
      </c>
      <c r="V80" s="404">
        <v>30.8</v>
      </c>
      <c r="W80" s="404">
        <v>30.8</v>
      </c>
      <c r="X80" s="404">
        <v>30.9</v>
      </c>
      <c r="Y80" s="404">
        <v>30.9</v>
      </c>
      <c r="Z80" s="404">
        <v>30.9</v>
      </c>
      <c r="AD80" s="289"/>
      <c r="AE80" s="289"/>
      <c r="AF80" s="289"/>
      <c r="AG80" s="289"/>
      <c r="AH80" s="289"/>
      <c r="AI80" s="289"/>
    </row>
    <row r="81" spans="1:35" s="406" customFormat="1" ht="15" customHeight="1" x14ac:dyDescent="0.15">
      <c r="A81" s="399" t="s">
        <v>421</v>
      </c>
      <c r="B81" s="400"/>
      <c r="C81" s="400"/>
      <c r="D81" s="401"/>
      <c r="E81" s="400"/>
      <c r="F81" s="400"/>
      <c r="G81" s="402">
        <v>2321.6999999999998</v>
      </c>
      <c r="H81" s="403">
        <v>2328.5</v>
      </c>
      <c r="I81" s="404">
        <v>2335.6</v>
      </c>
      <c r="J81" s="404">
        <v>2342.3000000000002</v>
      </c>
      <c r="K81" s="402">
        <v>2348.1</v>
      </c>
      <c r="L81" s="405">
        <v>2357.3000000000002</v>
      </c>
      <c r="M81" s="404">
        <v>2364.1</v>
      </c>
      <c r="N81" s="404">
        <v>2371.3000000000002</v>
      </c>
      <c r="O81" s="404">
        <v>2376.1999999999998</v>
      </c>
      <c r="P81" s="404">
        <v>2380.8000000000002</v>
      </c>
      <c r="Q81" s="404">
        <v>2386.8000000000002</v>
      </c>
      <c r="R81" s="404">
        <v>2398.5</v>
      </c>
      <c r="S81" s="404">
        <v>2408.1</v>
      </c>
      <c r="T81" s="404">
        <v>2395.8000000000002</v>
      </c>
      <c r="U81" s="404">
        <v>2417.4</v>
      </c>
      <c r="V81" s="404">
        <v>2432.3000000000002</v>
      </c>
      <c r="W81" s="404">
        <v>2441</v>
      </c>
      <c r="X81" s="404">
        <v>2431.8000000000002</v>
      </c>
      <c r="Y81" s="404">
        <v>2444.9</v>
      </c>
      <c r="Z81" s="404">
        <v>2454.3000000000002</v>
      </c>
    </row>
    <row r="82" spans="1:35" s="406" customFormat="1" ht="15" customHeight="1" x14ac:dyDescent="0.15">
      <c r="A82" s="399" t="s">
        <v>422</v>
      </c>
      <c r="B82" s="400"/>
      <c r="C82" s="400"/>
      <c r="D82" s="401"/>
      <c r="E82" s="400"/>
      <c r="F82" s="400"/>
      <c r="G82" s="402">
        <v>-814.2</v>
      </c>
      <c r="H82" s="403">
        <v>-502.3</v>
      </c>
      <c r="I82" s="404">
        <v>-242.5</v>
      </c>
      <c r="J82" s="404">
        <v>-153.19999999999999</v>
      </c>
      <c r="K82" s="402">
        <v>37.299999999999997</v>
      </c>
      <c r="L82" s="405">
        <v>-217.1</v>
      </c>
      <c r="M82" s="404">
        <v>327.2</v>
      </c>
      <c r="N82" s="404">
        <v>477.6</v>
      </c>
      <c r="O82" s="404">
        <v>374.2</v>
      </c>
      <c r="P82" s="404">
        <v>-24.9</v>
      </c>
      <c r="Q82" s="404">
        <v>222.1</v>
      </c>
      <c r="R82" s="404">
        <v>113.9</v>
      </c>
      <c r="S82" s="404">
        <v>354.1</v>
      </c>
      <c r="T82" s="404">
        <v>-580.1</v>
      </c>
      <c r="U82" s="404">
        <v>-1772.2</v>
      </c>
      <c r="V82" s="404">
        <v>-3134.7</v>
      </c>
      <c r="W82" s="404">
        <v>-3448.3</v>
      </c>
      <c r="X82" s="404">
        <v>-3162.3</v>
      </c>
      <c r="Y82" s="404">
        <v>-3457.6</v>
      </c>
      <c r="Z82" s="404">
        <v>-3150.6</v>
      </c>
    </row>
    <row r="83" spans="1:35" s="406" customFormat="1" ht="15" customHeight="1" x14ac:dyDescent="0.15">
      <c r="A83" s="399" t="s">
        <v>423</v>
      </c>
      <c r="B83" s="400"/>
      <c r="C83" s="400"/>
      <c r="D83" s="401"/>
      <c r="E83" s="400"/>
      <c r="F83" s="400"/>
      <c r="G83" s="402">
        <v>9863.1</v>
      </c>
      <c r="H83" s="403">
        <v>10083.1</v>
      </c>
      <c r="I83" s="404">
        <v>10308.9</v>
      </c>
      <c r="J83" s="404">
        <v>10491.5</v>
      </c>
      <c r="K83" s="402">
        <v>10728.7</v>
      </c>
      <c r="L83" s="405">
        <v>10812</v>
      </c>
      <c r="M83" s="404">
        <v>11019.2</v>
      </c>
      <c r="N83" s="404">
        <v>11192.3</v>
      </c>
      <c r="O83" s="404">
        <v>11269.6</v>
      </c>
      <c r="P83" s="404">
        <v>11363.2</v>
      </c>
      <c r="Q83" s="404">
        <v>11487.6</v>
      </c>
      <c r="R83" s="404">
        <v>11754.8</v>
      </c>
      <c r="S83" s="404">
        <v>11853.2</v>
      </c>
      <c r="T83" s="404">
        <v>12043.8</v>
      </c>
      <c r="U83" s="404">
        <v>12353.7</v>
      </c>
      <c r="V83" s="404">
        <v>12698.3</v>
      </c>
      <c r="W83" s="404">
        <v>13141.3</v>
      </c>
      <c r="X83" s="404">
        <v>13430.4</v>
      </c>
      <c r="Y83" s="404">
        <v>13758.1</v>
      </c>
      <c r="Z83" s="404">
        <v>13888.7</v>
      </c>
    </row>
    <row r="84" spans="1:35" s="406" customFormat="1" ht="15" customHeight="1" x14ac:dyDescent="0.15">
      <c r="A84" s="407" t="s">
        <v>424</v>
      </c>
      <c r="B84" s="400"/>
      <c r="C84" s="400"/>
      <c r="D84" s="401"/>
      <c r="E84" s="400"/>
      <c r="F84" s="400"/>
      <c r="G84" s="408">
        <v>-2779.3</v>
      </c>
      <c r="H84" s="409">
        <v>-2879.3</v>
      </c>
      <c r="I84" s="410">
        <v>-2979.5</v>
      </c>
      <c r="J84" s="410">
        <v>-3079.6</v>
      </c>
      <c r="K84" s="408">
        <v>-3179.7</v>
      </c>
      <c r="L84" s="411">
        <v>-3179.7</v>
      </c>
      <c r="M84" s="410">
        <v>-3179.7</v>
      </c>
      <c r="N84" s="410">
        <v>-3179.7</v>
      </c>
      <c r="O84" s="410">
        <v>-3179.7</v>
      </c>
      <c r="P84" s="410">
        <v>-3179.7</v>
      </c>
      <c r="Q84" s="410">
        <v>-3179.7</v>
      </c>
      <c r="R84" s="410">
        <v>-3179.7</v>
      </c>
      <c r="S84" s="410">
        <v>-3229.7</v>
      </c>
      <c r="T84" s="410">
        <v>-3267.2</v>
      </c>
      <c r="U84" s="410">
        <v>-3324.6</v>
      </c>
      <c r="V84" s="410">
        <v>-3367.2</v>
      </c>
      <c r="W84" s="410">
        <v>-3429.8</v>
      </c>
      <c r="X84" s="410">
        <v>-3483.4</v>
      </c>
      <c r="Y84" s="410">
        <v>-3530.4</v>
      </c>
      <c r="Z84" s="410">
        <v>-3605.2</v>
      </c>
    </row>
    <row r="85" spans="1:35" s="406" customFormat="1" ht="15" customHeight="1" thickBot="1" x14ac:dyDescent="0.2">
      <c r="A85" s="412" t="s">
        <v>425</v>
      </c>
      <c r="B85" s="413"/>
      <c r="C85" s="413"/>
      <c r="D85" s="414"/>
      <c r="E85" s="413"/>
      <c r="F85" s="413"/>
      <c r="G85" s="272">
        <v>8621.7999999999993</v>
      </c>
      <c r="H85" s="273">
        <v>9060.5</v>
      </c>
      <c r="I85" s="274">
        <v>9453.0999999999985</v>
      </c>
      <c r="J85" s="274">
        <v>9631.6</v>
      </c>
      <c r="K85" s="272">
        <v>9965</v>
      </c>
      <c r="L85" s="275">
        <v>9803.0999999999985</v>
      </c>
      <c r="M85" s="274">
        <v>10561.400000000001</v>
      </c>
      <c r="N85" s="274">
        <v>10892.2</v>
      </c>
      <c r="O85" s="274">
        <v>10871</v>
      </c>
      <c r="P85" s="274">
        <v>10570.100000000002</v>
      </c>
      <c r="Q85" s="274">
        <v>10947.5</v>
      </c>
      <c r="R85" s="274">
        <v>11118.2</v>
      </c>
      <c r="S85" s="274">
        <v>11416.400000000001</v>
      </c>
      <c r="T85" s="274">
        <v>10623.099999999999</v>
      </c>
      <c r="U85" s="274">
        <v>9705.1</v>
      </c>
      <c r="V85" s="274">
        <v>8659.5</v>
      </c>
      <c r="W85" s="274">
        <v>8735</v>
      </c>
      <c r="X85" s="274">
        <v>9247.4</v>
      </c>
      <c r="Y85" s="274">
        <v>9245.9000000000015</v>
      </c>
      <c r="Z85" s="274">
        <v>9618.1000000000022</v>
      </c>
    </row>
    <row r="86" spans="1:35" ht="15" customHeight="1" x14ac:dyDescent="0.15">
      <c r="A86" s="654"/>
      <c r="B86" s="627"/>
      <c r="C86" s="627"/>
      <c r="D86" s="628"/>
      <c r="E86" s="627"/>
      <c r="F86" s="627"/>
      <c r="O86" s="289"/>
      <c r="P86" s="289"/>
      <c r="S86" s="289"/>
      <c r="T86" s="289"/>
      <c r="W86" s="289"/>
      <c r="X86" s="289"/>
      <c r="AA86" s="289"/>
      <c r="AD86" s="406"/>
      <c r="AE86" s="406"/>
      <c r="AF86" s="406"/>
      <c r="AG86" s="406"/>
      <c r="AH86" s="406"/>
      <c r="AI86" s="406"/>
    </row>
    <row r="88" spans="1:35" ht="15" customHeight="1" x14ac:dyDescent="0.15">
      <c r="A88" s="552"/>
      <c r="B88" s="627"/>
      <c r="C88" s="627"/>
      <c r="D88" s="628"/>
      <c r="E88" s="627"/>
      <c r="F88" s="627"/>
      <c r="G88" s="655"/>
      <c r="H88" s="656"/>
      <c r="I88" s="657"/>
      <c r="J88" s="657"/>
      <c r="K88" s="655"/>
      <c r="L88" s="658"/>
      <c r="M88" s="659"/>
      <c r="N88" s="659"/>
      <c r="O88" s="659"/>
      <c r="P88" s="659"/>
      <c r="Q88" s="659"/>
      <c r="R88" s="659"/>
      <c r="S88" s="659"/>
      <c r="T88" s="659"/>
      <c r="U88" s="657"/>
      <c r="V88" s="657"/>
      <c r="W88" s="657"/>
      <c r="X88" s="657"/>
      <c r="Y88" s="657"/>
      <c r="Z88" s="657"/>
      <c r="AA88" s="289"/>
    </row>
    <row r="89" spans="1:35" ht="15" customHeight="1" x14ac:dyDescent="0.15">
      <c r="A89" s="552"/>
      <c r="B89" s="627"/>
      <c r="C89" s="627"/>
      <c r="D89" s="628"/>
      <c r="E89" s="627"/>
      <c r="F89" s="627"/>
      <c r="G89" s="655"/>
      <c r="H89" s="656"/>
      <c r="I89" s="657"/>
      <c r="J89" s="657"/>
      <c r="K89" s="655"/>
      <c r="L89" s="658"/>
      <c r="M89" s="659"/>
      <c r="N89" s="659"/>
      <c r="O89" s="659"/>
      <c r="P89" s="659"/>
      <c r="Q89" s="659"/>
      <c r="R89" s="659"/>
      <c r="S89" s="659"/>
      <c r="T89" s="659"/>
      <c r="U89" s="657"/>
      <c r="V89" s="657"/>
      <c r="W89" s="657"/>
      <c r="X89" s="657"/>
      <c r="Y89" s="657"/>
      <c r="Z89" s="657"/>
      <c r="AA89" s="289"/>
    </row>
    <row r="90" spans="1:35" ht="15" customHeight="1" x14ac:dyDescent="0.15">
      <c r="A90" s="552"/>
      <c r="B90" s="627"/>
      <c r="C90" s="627"/>
      <c r="D90" s="628"/>
      <c r="E90" s="627"/>
      <c r="F90" s="627"/>
      <c r="G90" s="655"/>
      <c r="H90" s="656"/>
      <c r="I90" s="657"/>
      <c r="J90" s="657"/>
      <c r="K90" s="655"/>
      <c r="L90" s="658"/>
      <c r="M90" s="659"/>
      <c r="N90" s="659"/>
      <c r="O90" s="659"/>
      <c r="P90" s="659"/>
      <c r="Q90" s="659"/>
      <c r="R90" s="659"/>
      <c r="S90" s="659"/>
      <c r="T90" s="659"/>
      <c r="U90" s="657"/>
      <c r="V90" s="657"/>
      <c r="W90" s="657"/>
      <c r="X90" s="657"/>
      <c r="Y90" s="657"/>
      <c r="Z90" s="657"/>
      <c r="AA90" s="289"/>
    </row>
    <row r="91" spans="1:35" ht="15" customHeight="1" x14ac:dyDescent="0.15">
      <c r="A91" s="552"/>
      <c r="B91" s="627"/>
      <c r="C91" s="627"/>
      <c r="D91" s="628"/>
      <c r="E91" s="627"/>
      <c r="F91" s="627"/>
      <c r="G91" s="655"/>
      <c r="H91" s="656"/>
      <c r="I91" s="657"/>
      <c r="J91" s="657"/>
      <c r="K91" s="655"/>
      <c r="L91" s="658"/>
      <c r="M91" s="659"/>
      <c r="N91" s="659"/>
      <c r="O91" s="659"/>
      <c r="P91" s="659"/>
      <c r="Q91" s="659"/>
      <c r="R91" s="659"/>
      <c r="S91" s="659"/>
      <c r="T91" s="659"/>
      <c r="U91" s="657"/>
      <c r="V91" s="657"/>
      <c r="W91" s="657"/>
      <c r="X91" s="657"/>
      <c r="Y91" s="657"/>
      <c r="Z91" s="657"/>
      <c r="AA91" s="289"/>
    </row>
    <row r="92" spans="1:35" ht="15" customHeight="1" x14ac:dyDescent="0.15">
      <c r="A92" s="552" t="s">
        <v>426</v>
      </c>
      <c r="B92" s="627"/>
      <c r="C92" s="627"/>
      <c r="D92" s="628"/>
      <c r="E92" s="627"/>
      <c r="F92" s="627"/>
      <c r="G92" s="655">
        <v>8621.7999999999993</v>
      </c>
      <c r="H92" s="656">
        <v>9060.5</v>
      </c>
      <c r="I92" s="657">
        <v>9453.1</v>
      </c>
      <c r="J92" s="657">
        <v>9631.6</v>
      </c>
      <c r="K92" s="655">
        <v>9965</v>
      </c>
      <c r="L92" s="658">
        <v>9803.1</v>
      </c>
      <c r="M92" s="659">
        <v>10561.4</v>
      </c>
      <c r="N92" s="659">
        <v>10892.2</v>
      </c>
      <c r="O92" s="659">
        <v>10871</v>
      </c>
      <c r="P92" s="659">
        <v>10570.1</v>
      </c>
      <c r="Q92" s="659">
        <v>10947.5</v>
      </c>
      <c r="R92" s="659">
        <v>11118.2</v>
      </c>
      <c r="S92" s="659">
        <v>11416.4</v>
      </c>
      <c r="T92" s="659">
        <v>10623.1</v>
      </c>
      <c r="U92" s="657">
        <v>9705.1</v>
      </c>
      <c r="V92" s="657">
        <v>8659.5</v>
      </c>
      <c r="W92" s="657">
        <v>8735</v>
      </c>
      <c r="X92" s="657">
        <v>9247.4</v>
      </c>
      <c r="Y92" s="657">
        <v>9245.9</v>
      </c>
      <c r="Z92" s="657">
        <v>9618.1</v>
      </c>
      <c r="AA92" s="289"/>
    </row>
    <row r="93" spans="1:35" ht="15" customHeight="1" x14ac:dyDescent="0.15">
      <c r="A93" s="552" t="s">
        <v>427</v>
      </c>
      <c r="B93" s="627"/>
      <c r="C93" s="627"/>
      <c r="D93" s="628"/>
      <c r="E93" s="627"/>
      <c r="F93" s="627"/>
      <c r="G93" s="660">
        <v>61875.6</v>
      </c>
      <c r="H93" s="661">
        <v>63921.7</v>
      </c>
      <c r="I93" s="659">
        <v>65843.7</v>
      </c>
      <c r="J93" s="659">
        <v>66955.7</v>
      </c>
      <c r="K93" s="660">
        <v>67013.399999999994</v>
      </c>
      <c r="L93" s="662">
        <v>65335.9</v>
      </c>
      <c r="M93" s="659">
        <v>69305.2</v>
      </c>
      <c r="N93" s="659">
        <v>69616</v>
      </c>
      <c r="O93" s="659">
        <v>70625.8</v>
      </c>
      <c r="P93" s="659">
        <v>69256.600000000006</v>
      </c>
      <c r="Q93" s="659">
        <v>70807.899999999994</v>
      </c>
      <c r="R93" s="659">
        <v>70597.899999999994</v>
      </c>
      <c r="S93" s="659">
        <v>70115.600000000006</v>
      </c>
      <c r="T93" s="659">
        <v>66471.7</v>
      </c>
      <c r="U93" s="659">
        <v>63121.1</v>
      </c>
      <c r="V93" s="659">
        <v>60866.7</v>
      </c>
      <c r="W93" s="659">
        <v>61148.5</v>
      </c>
      <c r="X93" s="659">
        <v>62423.8</v>
      </c>
      <c r="Y93" s="659">
        <v>61904.4</v>
      </c>
      <c r="Z93" s="659">
        <v>59954.5</v>
      </c>
      <c r="AA93" s="289"/>
    </row>
    <row r="94" spans="1:35" ht="15" customHeight="1" x14ac:dyDescent="0.15">
      <c r="A94" s="627"/>
      <c r="B94" s="627"/>
      <c r="C94" s="627"/>
      <c r="D94" s="628"/>
      <c r="E94" s="627"/>
      <c r="F94" s="627"/>
      <c r="G94" s="629"/>
      <c r="H94" s="630"/>
      <c r="I94" s="631"/>
      <c r="J94" s="631"/>
      <c r="K94" s="629"/>
      <c r="L94" s="631"/>
      <c r="M94" s="631"/>
      <c r="N94" s="631"/>
      <c r="O94" s="631"/>
      <c r="P94" s="631"/>
      <c r="Q94" s="631"/>
      <c r="R94" s="631"/>
      <c r="S94" s="631"/>
      <c r="T94" s="631"/>
      <c r="U94" s="631"/>
      <c r="V94" s="631"/>
      <c r="W94" s="631"/>
      <c r="X94" s="631"/>
      <c r="Y94" s="631"/>
      <c r="Z94" s="631"/>
      <c r="AA94" s="289"/>
    </row>
    <row r="95" spans="1:35" ht="15" hidden="1" customHeight="1" outlineLevel="1" x14ac:dyDescent="0.15">
      <c r="A95" s="627"/>
      <c r="B95" s="627"/>
      <c r="C95" s="627"/>
      <c r="D95" s="628"/>
      <c r="E95" s="627"/>
      <c r="F95" s="627"/>
      <c r="G95" s="629"/>
      <c r="H95" s="630"/>
      <c r="I95" s="631"/>
      <c r="J95" s="631"/>
      <c r="K95" s="629"/>
      <c r="L95" s="631"/>
      <c r="M95" s="631"/>
      <c r="N95" s="631"/>
      <c r="O95" s="631"/>
      <c r="P95" s="631"/>
      <c r="Q95" s="631"/>
      <c r="R95" s="631"/>
      <c r="S95" s="631"/>
      <c r="T95" s="631"/>
      <c r="U95" s="631"/>
      <c r="V95" s="631"/>
      <c r="W95" s="631"/>
      <c r="X95" s="631"/>
      <c r="Y95" s="631"/>
      <c r="Z95" s="631"/>
      <c r="AA95" s="289"/>
    </row>
    <row r="96" spans="1:35" ht="15" hidden="1" customHeight="1" outlineLevel="1" x14ac:dyDescent="0.15">
      <c r="A96" s="627"/>
      <c r="B96" s="627"/>
      <c r="C96" s="627"/>
      <c r="D96" s="628"/>
      <c r="E96" s="627"/>
      <c r="F96" s="627"/>
      <c r="G96" s="629"/>
      <c r="H96" s="630"/>
      <c r="I96" s="631"/>
      <c r="J96" s="631"/>
      <c r="K96" s="629"/>
      <c r="L96" s="631"/>
      <c r="M96" s="631"/>
      <c r="N96" s="631"/>
      <c r="O96" s="631"/>
      <c r="P96" s="631"/>
      <c r="Q96" s="631"/>
      <c r="R96" s="631"/>
      <c r="S96" s="631"/>
      <c r="T96" s="631"/>
      <c r="U96" s="631"/>
      <c r="V96" s="631"/>
      <c r="W96" s="631"/>
      <c r="X96" s="631"/>
      <c r="Y96" s="631"/>
      <c r="Z96" s="631"/>
      <c r="AA96" s="289"/>
    </row>
    <row r="97" spans="1:27" ht="15" hidden="1" customHeight="1" outlineLevel="1" x14ac:dyDescent="0.15">
      <c r="A97" s="627"/>
      <c r="B97" s="627"/>
      <c r="C97" s="627"/>
      <c r="D97" s="628"/>
      <c r="E97" s="627"/>
      <c r="F97" s="627"/>
      <c r="G97" s="629"/>
      <c r="H97" s="630"/>
      <c r="I97" s="631"/>
      <c r="J97" s="631"/>
      <c r="K97" s="629"/>
      <c r="L97" s="631"/>
      <c r="M97" s="631"/>
      <c r="N97" s="631"/>
      <c r="O97" s="631"/>
      <c r="P97" s="631"/>
      <c r="Q97" s="631"/>
      <c r="R97" s="631"/>
      <c r="S97" s="631"/>
      <c r="T97" s="631"/>
      <c r="U97" s="631"/>
      <c r="V97" s="631"/>
      <c r="W97" s="631"/>
      <c r="X97" s="631"/>
      <c r="Y97" s="631"/>
      <c r="Z97" s="631"/>
      <c r="AA97" s="289"/>
    </row>
    <row r="98" spans="1:27" ht="15" hidden="1" customHeight="1" outlineLevel="1" x14ac:dyDescent="0.15">
      <c r="A98" s="627"/>
      <c r="B98" s="627"/>
      <c r="C98" s="627"/>
      <c r="D98" s="628"/>
      <c r="E98" s="627"/>
      <c r="F98" s="627"/>
      <c r="G98" s="629"/>
      <c r="H98" s="630"/>
      <c r="I98" s="631"/>
      <c r="J98" s="631"/>
      <c r="K98" s="629"/>
      <c r="L98" s="631"/>
      <c r="M98" s="631"/>
      <c r="N98" s="631"/>
      <c r="O98" s="631"/>
      <c r="P98" s="631"/>
      <c r="Q98" s="631"/>
      <c r="R98" s="631"/>
      <c r="S98" s="631"/>
      <c r="T98" s="631"/>
      <c r="U98" s="631"/>
      <c r="V98" s="631"/>
      <c r="W98" s="631"/>
      <c r="X98" s="631"/>
      <c r="Y98" s="631"/>
      <c r="Z98" s="631"/>
      <c r="AA98" s="289"/>
    </row>
    <row r="99" spans="1:27" ht="15" hidden="1" customHeight="1" outlineLevel="1" x14ac:dyDescent="0.15">
      <c r="A99" s="627"/>
      <c r="B99" s="627"/>
      <c r="C99" s="627"/>
      <c r="D99" s="628"/>
      <c r="E99" s="627"/>
      <c r="F99" s="627"/>
      <c r="G99" s="629"/>
      <c r="H99" s="630"/>
      <c r="I99" s="631"/>
      <c r="J99" s="631"/>
      <c r="K99" s="629"/>
      <c r="L99" s="631"/>
      <c r="M99" s="631"/>
      <c r="N99" s="631"/>
      <c r="O99" s="631"/>
      <c r="P99" s="631"/>
      <c r="Q99" s="631"/>
      <c r="R99" s="631"/>
      <c r="S99" s="631"/>
      <c r="T99" s="631"/>
      <c r="U99" s="631"/>
      <c r="V99" s="631"/>
      <c r="W99" s="631"/>
      <c r="X99" s="631"/>
      <c r="Y99" s="631"/>
      <c r="Z99" s="631"/>
      <c r="AA99" s="289"/>
    </row>
    <row r="100" spans="1:27" ht="15" hidden="1" customHeight="1" outlineLevel="1" x14ac:dyDescent="0.15">
      <c r="A100" s="627"/>
      <c r="B100" s="627"/>
      <c r="C100" s="627"/>
      <c r="D100" s="628"/>
      <c r="E100" s="627"/>
      <c r="F100" s="627"/>
      <c r="G100" s="629"/>
      <c r="H100" s="630"/>
      <c r="I100" s="631"/>
      <c r="J100" s="631"/>
      <c r="K100" s="629"/>
      <c r="L100" s="631"/>
      <c r="M100" s="631"/>
      <c r="N100" s="631"/>
      <c r="O100" s="631"/>
      <c r="P100" s="631"/>
      <c r="Q100" s="631"/>
      <c r="R100" s="631"/>
      <c r="S100" s="631"/>
      <c r="T100" s="631"/>
      <c r="U100" s="631"/>
      <c r="V100" s="631"/>
      <c r="W100" s="631"/>
      <c r="X100" s="631"/>
      <c r="Y100" s="631"/>
      <c r="Z100" s="631"/>
      <c r="AA100" s="289"/>
    </row>
    <row r="101" spans="1:27" ht="15" hidden="1" customHeight="1" outlineLevel="1" x14ac:dyDescent="0.15">
      <c r="A101" s="627"/>
      <c r="B101" s="627"/>
      <c r="C101" s="627"/>
      <c r="D101" s="628"/>
      <c r="E101" s="627"/>
      <c r="F101" s="627"/>
      <c r="G101" s="629"/>
      <c r="H101" s="630"/>
      <c r="I101" s="631"/>
      <c r="J101" s="631"/>
      <c r="K101" s="629"/>
      <c r="L101" s="631"/>
      <c r="M101" s="631"/>
      <c r="N101" s="631"/>
      <c r="O101" s="631"/>
      <c r="P101" s="631"/>
      <c r="Q101" s="631"/>
      <c r="R101" s="631"/>
      <c r="S101" s="631"/>
      <c r="T101" s="631"/>
      <c r="U101" s="631"/>
      <c r="V101" s="631"/>
      <c r="W101" s="631"/>
      <c r="X101" s="631"/>
      <c r="Y101" s="631"/>
      <c r="Z101" s="631"/>
      <c r="AA101" s="289"/>
    </row>
    <row r="102" spans="1:27" ht="15" hidden="1" customHeight="1" outlineLevel="1" x14ac:dyDescent="0.15">
      <c r="A102" s="627"/>
      <c r="B102" s="627"/>
      <c r="C102" s="627"/>
      <c r="D102" s="628"/>
      <c r="E102" s="627"/>
      <c r="F102" s="627"/>
      <c r="G102" s="629"/>
      <c r="H102" s="630"/>
      <c r="I102" s="631"/>
      <c r="J102" s="631"/>
      <c r="K102" s="629"/>
      <c r="L102" s="631"/>
      <c r="M102" s="631"/>
      <c r="N102" s="631"/>
      <c r="O102" s="631"/>
      <c r="P102" s="631"/>
      <c r="Q102" s="631"/>
      <c r="R102" s="631"/>
      <c r="S102" s="631"/>
      <c r="T102" s="631"/>
      <c r="U102" s="631"/>
      <c r="V102" s="631"/>
      <c r="W102" s="631"/>
      <c r="X102" s="631"/>
      <c r="Y102" s="631"/>
      <c r="Z102" s="631"/>
      <c r="AA102" s="289"/>
    </row>
    <row r="103" spans="1:27" ht="15" hidden="1" customHeight="1" outlineLevel="1" x14ac:dyDescent="0.15">
      <c r="A103" s="627"/>
      <c r="B103" s="627"/>
      <c r="C103" s="627"/>
      <c r="D103" s="628"/>
      <c r="E103" s="627"/>
      <c r="F103" s="627"/>
      <c r="G103" s="629"/>
      <c r="H103" s="630"/>
      <c r="I103" s="631"/>
      <c r="J103" s="631"/>
      <c r="K103" s="629"/>
      <c r="L103" s="631"/>
      <c r="M103" s="631"/>
      <c r="N103" s="631"/>
      <c r="O103" s="631"/>
      <c r="P103" s="631"/>
      <c r="Q103" s="631"/>
      <c r="R103" s="631"/>
      <c r="S103" s="631"/>
      <c r="T103" s="631"/>
      <c r="U103" s="631"/>
      <c r="V103" s="631"/>
      <c r="W103" s="631"/>
      <c r="X103" s="631"/>
      <c r="Y103" s="631"/>
      <c r="Z103" s="631"/>
      <c r="AA103" s="289"/>
    </row>
    <row r="104" spans="1:27" ht="15" hidden="1" customHeight="1" outlineLevel="1" x14ac:dyDescent="0.15">
      <c r="A104" s="627"/>
      <c r="B104" s="627"/>
      <c r="C104" s="627"/>
      <c r="D104" s="628"/>
      <c r="E104" s="627"/>
      <c r="F104" s="627"/>
      <c r="G104" s="629"/>
      <c r="H104" s="630"/>
      <c r="I104" s="631"/>
      <c r="J104" s="631"/>
      <c r="K104" s="629"/>
      <c r="L104" s="631"/>
      <c r="M104" s="631"/>
      <c r="N104" s="631"/>
      <c r="O104" s="631"/>
      <c r="P104" s="631"/>
      <c r="Q104" s="631"/>
      <c r="R104" s="631"/>
      <c r="S104" s="631"/>
      <c r="T104" s="631"/>
      <c r="U104" s="631"/>
      <c r="V104" s="631"/>
      <c r="W104" s="631"/>
      <c r="X104" s="631"/>
      <c r="Y104" s="631"/>
      <c r="Z104" s="631"/>
      <c r="AA104" s="289"/>
    </row>
    <row r="105" spans="1:27" ht="15" hidden="1" customHeight="1" outlineLevel="1" x14ac:dyDescent="0.15">
      <c r="A105" s="627"/>
      <c r="B105" s="627"/>
      <c r="C105" s="627"/>
      <c r="D105" s="628"/>
      <c r="E105" s="627"/>
      <c r="F105" s="627"/>
      <c r="G105" s="629"/>
      <c r="H105" s="630"/>
      <c r="I105" s="631"/>
      <c r="J105" s="631"/>
      <c r="K105" s="629"/>
      <c r="L105" s="631"/>
      <c r="M105" s="631"/>
      <c r="N105" s="631"/>
      <c r="O105" s="631"/>
      <c r="P105" s="631"/>
      <c r="Q105" s="631"/>
      <c r="R105" s="631"/>
      <c r="S105" s="631"/>
      <c r="T105" s="631"/>
      <c r="U105" s="631"/>
      <c r="V105" s="631"/>
      <c r="W105" s="631"/>
      <c r="X105" s="631"/>
      <c r="Y105" s="631"/>
      <c r="Z105" s="631"/>
      <c r="AA105" s="289"/>
    </row>
    <row r="106" spans="1:27" ht="15" hidden="1" customHeight="1" outlineLevel="1" x14ac:dyDescent="0.15">
      <c r="A106" s="627"/>
      <c r="B106" s="627"/>
      <c r="C106" s="627"/>
      <c r="D106" s="628"/>
      <c r="E106" s="627"/>
      <c r="F106" s="627"/>
      <c r="G106" s="629"/>
      <c r="H106" s="630"/>
      <c r="I106" s="631"/>
      <c r="J106" s="631"/>
      <c r="K106" s="629"/>
      <c r="L106" s="631"/>
      <c r="M106" s="631"/>
      <c r="N106" s="631"/>
      <c r="O106" s="631"/>
      <c r="P106" s="631"/>
      <c r="Q106" s="631"/>
      <c r="R106" s="631"/>
      <c r="S106" s="631"/>
      <c r="T106" s="631"/>
      <c r="U106" s="631"/>
      <c r="V106" s="631"/>
      <c r="W106" s="631"/>
      <c r="X106" s="631"/>
      <c r="Y106" s="631"/>
      <c r="Z106" s="631"/>
      <c r="AA106" s="289"/>
    </row>
    <row r="107" spans="1:27" ht="15" hidden="1" customHeight="1" outlineLevel="1" x14ac:dyDescent="0.15">
      <c r="A107" s="627"/>
      <c r="B107" s="627"/>
      <c r="C107" s="627"/>
      <c r="D107" s="628"/>
      <c r="E107" s="627"/>
      <c r="F107" s="627"/>
      <c r="G107" s="629"/>
      <c r="H107" s="630"/>
      <c r="I107" s="631"/>
      <c r="J107" s="631"/>
      <c r="K107" s="629"/>
      <c r="L107" s="631"/>
      <c r="M107" s="631"/>
      <c r="N107" s="631"/>
      <c r="O107" s="631"/>
      <c r="P107" s="631"/>
      <c r="Q107" s="631"/>
      <c r="R107" s="631"/>
      <c r="S107" s="631"/>
      <c r="T107" s="631"/>
      <c r="U107" s="631"/>
      <c r="V107" s="631"/>
      <c r="W107" s="631"/>
      <c r="X107" s="631"/>
      <c r="Y107" s="631"/>
      <c r="Z107" s="631"/>
      <c r="AA107" s="289"/>
    </row>
    <row r="108" spans="1:27" ht="15" hidden="1" customHeight="1" outlineLevel="1" x14ac:dyDescent="0.15">
      <c r="A108" s="654" t="s">
        <v>428</v>
      </c>
      <c r="B108" s="654"/>
      <c r="C108" s="663"/>
      <c r="D108" s="664"/>
      <c r="E108" s="654"/>
      <c r="F108" s="654"/>
      <c r="G108" s="665">
        <v>-332.4</v>
      </c>
      <c r="H108" s="666">
        <v>1245.0999999999999</v>
      </c>
      <c r="I108" s="667">
        <v>1047.7</v>
      </c>
      <c r="J108" s="667">
        <v>800.4</v>
      </c>
      <c r="K108" s="665">
        <v>-222.3</v>
      </c>
      <c r="L108" s="668">
        <v>-1666.7</v>
      </c>
      <c r="M108" s="667">
        <v>2507.6999999999998</v>
      </c>
      <c r="N108" s="667">
        <v>481.4</v>
      </c>
      <c r="O108" s="665">
        <v>-339.4</v>
      </c>
      <c r="P108" s="666">
        <v>-1646</v>
      </c>
      <c r="Q108" s="667">
        <v>858.8</v>
      </c>
      <c r="R108" s="667">
        <v>-260.8</v>
      </c>
      <c r="S108" s="665">
        <v>-253.4</v>
      </c>
      <c r="T108" s="666">
        <v>-2893.8</v>
      </c>
      <c r="U108" s="667">
        <v>-2681.1</v>
      </c>
      <c r="V108" s="667">
        <v>-1925.9</v>
      </c>
      <c r="W108" s="665">
        <v>457.8</v>
      </c>
      <c r="X108" s="666">
        <v>823.2</v>
      </c>
      <c r="Y108" s="667">
        <v>-557.4</v>
      </c>
      <c r="Z108" s="667">
        <v>-1185.8</v>
      </c>
    </row>
    <row r="109" spans="1:27" ht="15" hidden="1" customHeight="1" outlineLevel="1" x14ac:dyDescent="0.15">
      <c r="A109" s="542" t="s">
        <v>429</v>
      </c>
      <c r="B109" s="542"/>
      <c r="C109" s="543"/>
      <c r="D109" s="544"/>
      <c r="E109" s="542"/>
      <c r="F109" s="542"/>
      <c r="G109" s="669"/>
      <c r="H109" s="670"/>
      <c r="I109" s="671"/>
      <c r="J109" s="671"/>
      <c r="K109" s="669"/>
      <c r="L109" s="672"/>
      <c r="M109" s="671"/>
      <c r="N109" s="671"/>
      <c r="O109" s="669"/>
      <c r="P109" s="670"/>
      <c r="Q109" s="671"/>
      <c r="R109" s="671"/>
      <c r="S109" s="669"/>
      <c r="T109" s="673">
        <v>3658.1</v>
      </c>
      <c r="U109" s="671"/>
      <c r="V109" s="674">
        <v>2222.9</v>
      </c>
      <c r="W109" s="669"/>
      <c r="X109" s="673">
        <v>-573.9</v>
      </c>
      <c r="Y109" s="674">
        <v>260.10000000000002</v>
      </c>
      <c r="Z109" s="674">
        <v>1688.4</v>
      </c>
    </row>
    <row r="110" spans="1:27" ht="42" hidden="1" outlineLevel="1" x14ac:dyDescent="0.15">
      <c r="A110" s="542" t="s">
        <v>430</v>
      </c>
      <c r="B110" s="542"/>
      <c r="C110" s="543"/>
      <c r="D110" s="544"/>
      <c r="E110" s="542"/>
      <c r="F110" s="542"/>
      <c r="G110" s="599">
        <v>360.7</v>
      </c>
      <c r="H110" s="673">
        <v>-932.8</v>
      </c>
      <c r="I110" s="674">
        <v>-760.7</v>
      </c>
      <c r="J110" s="674">
        <v>-665.2</v>
      </c>
      <c r="K110" s="599">
        <v>416.1</v>
      </c>
      <c r="L110" s="675">
        <v>1446.1</v>
      </c>
      <c r="M110" s="674">
        <v>-1939.9</v>
      </c>
      <c r="N110" s="674">
        <v>-340</v>
      </c>
      <c r="O110" s="599">
        <v>302.60000000000002</v>
      </c>
      <c r="P110" s="673">
        <v>1256.5</v>
      </c>
      <c r="Q110" s="674">
        <v>-625.6</v>
      </c>
      <c r="R110" s="674">
        <v>185.4</v>
      </c>
      <c r="S110" s="599">
        <v>379.6</v>
      </c>
      <c r="T110" s="670"/>
      <c r="U110" s="674">
        <v>1550.1</v>
      </c>
      <c r="V110" s="671"/>
      <c r="W110" s="599">
        <v>-152.30000000000001</v>
      </c>
      <c r="X110" s="670"/>
      <c r="Y110" s="671"/>
      <c r="Z110" s="671"/>
    </row>
    <row r="111" spans="1:27" ht="15" hidden="1" customHeight="1" outlineLevel="1" x14ac:dyDescent="0.15">
      <c r="A111" s="542" t="s">
        <v>431</v>
      </c>
      <c r="B111" s="542"/>
      <c r="C111" s="543"/>
      <c r="D111" s="544"/>
      <c r="E111" s="542"/>
      <c r="F111" s="542"/>
      <c r="G111" s="639">
        <v>0.6</v>
      </c>
      <c r="H111" s="640">
        <v>-20.5</v>
      </c>
      <c r="I111" s="641">
        <v>-12.1</v>
      </c>
      <c r="J111" s="641">
        <v>-13.7</v>
      </c>
      <c r="K111" s="639">
        <v>-16.5</v>
      </c>
      <c r="L111" s="642">
        <v>22.8</v>
      </c>
      <c r="M111" s="641">
        <v>-24.4</v>
      </c>
      <c r="N111" s="641">
        <v>-27.5</v>
      </c>
      <c r="O111" s="639">
        <v>-60.9</v>
      </c>
      <c r="P111" s="640">
        <v>-20.7</v>
      </c>
      <c r="Q111" s="641">
        <v>0.4</v>
      </c>
      <c r="R111" s="641">
        <v>-8</v>
      </c>
      <c r="S111" s="639">
        <v>-7.7</v>
      </c>
      <c r="T111" s="640">
        <v>-10.4</v>
      </c>
      <c r="U111" s="641">
        <v>-5</v>
      </c>
      <c r="V111" s="641">
        <v>-32.9</v>
      </c>
      <c r="W111" s="639">
        <v>-23.1</v>
      </c>
      <c r="X111" s="640">
        <v>17.399999999999999</v>
      </c>
      <c r="Y111" s="641">
        <v>-41.1</v>
      </c>
      <c r="Z111" s="674">
        <v>-144.4</v>
      </c>
    </row>
    <row r="112" spans="1:27" ht="15" hidden="1" customHeight="1" outlineLevel="1" x14ac:dyDescent="0.15">
      <c r="A112" s="542" t="s">
        <v>432</v>
      </c>
      <c r="B112" s="542"/>
      <c r="C112" s="543"/>
      <c r="D112" s="544"/>
      <c r="E112" s="542"/>
      <c r="F112" s="542"/>
      <c r="G112" s="639">
        <v>-21.2</v>
      </c>
      <c r="H112" s="640">
        <v>17.3</v>
      </c>
      <c r="I112" s="641">
        <v>-19.7</v>
      </c>
      <c r="J112" s="641">
        <v>-37.6</v>
      </c>
      <c r="K112" s="639">
        <v>63.6</v>
      </c>
      <c r="L112" s="642">
        <v>-63.6</v>
      </c>
      <c r="M112" s="641">
        <v>-3</v>
      </c>
      <c r="N112" s="641">
        <v>34.5</v>
      </c>
      <c r="O112" s="639">
        <v>52.4</v>
      </c>
      <c r="P112" s="640">
        <v>7.3</v>
      </c>
      <c r="Q112" s="641">
        <v>9.3000000000000007</v>
      </c>
      <c r="R112" s="641">
        <v>-30.5</v>
      </c>
      <c r="S112" s="639">
        <v>1.3</v>
      </c>
      <c r="T112" s="640">
        <v>-32</v>
      </c>
      <c r="U112" s="641">
        <v>-61.1</v>
      </c>
      <c r="V112" s="641">
        <v>-71.5</v>
      </c>
      <c r="W112" s="639">
        <v>48.9</v>
      </c>
      <c r="X112" s="640">
        <v>24.7</v>
      </c>
      <c r="Y112" s="641">
        <v>38.299999999999997</v>
      </c>
      <c r="Z112" s="641">
        <v>-55.1</v>
      </c>
    </row>
    <row r="113" spans="1:26" ht="15" hidden="1" customHeight="1" outlineLevel="1" x14ac:dyDescent="0.15">
      <c r="A113" s="542" t="s">
        <v>433</v>
      </c>
      <c r="B113" s="542"/>
      <c r="C113" s="543"/>
      <c r="D113" s="544"/>
      <c r="E113" s="542"/>
      <c r="F113" s="542"/>
      <c r="G113" s="639">
        <v>46.6</v>
      </c>
      <c r="H113" s="640">
        <v>2.8</v>
      </c>
      <c r="I113" s="641">
        <v>4.5999999999999996</v>
      </c>
      <c r="J113" s="641">
        <v>5.4</v>
      </c>
      <c r="K113" s="639">
        <v>-50.4</v>
      </c>
      <c r="L113" s="642">
        <v>7</v>
      </c>
      <c r="M113" s="641">
        <v>3.9</v>
      </c>
      <c r="N113" s="641">
        <v>2</v>
      </c>
      <c r="O113" s="639">
        <v>-58.1</v>
      </c>
      <c r="P113" s="640">
        <v>3.8</v>
      </c>
      <c r="Q113" s="641">
        <v>4.0999999999999996</v>
      </c>
      <c r="R113" s="641">
        <v>5.7</v>
      </c>
      <c r="S113" s="599">
        <v>120.4</v>
      </c>
      <c r="T113" s="640">
        <v>4.2</v>
      </c>
      <c r="U113" s="641">
        <v>5</v>
      </c>
      <c r="V113" s="641">
        <v>5.9</v>
      </c>
      <c r="W113" s="639">
        <v>46.8</v>
      </c>
      <c r="X113" s="640">
        <v>-5.4</v>
      </c>
      <c r="Y113" s="641">
        <v>4.8</v>
      </c>
      <c r="Z113" s="641">
        <v>3.9</v>
      </c>
    </row>
    <row r="114" spans="1:26" ht="14" hidden="1" outlineLevel="1" x14ac:dyDescent="0.15">
      <c r="A114" s="552" t="s">
        <v>434</v>
      </c>
      <c r="B114" s="552"/>
      <c r="C114" s="553"/>
      <c r="D114" s="554"/>
      <c r="E114" s="552"/>
      <c r="F114" s="552"/>
      <c r="G114" s="676">
        <v>54.3</v>
      </c>
      <c r="H114" s="677">
        <v>311.89999999999998</v>
      </c>
      <c r="I114" s="678">
        <v>259.8</v>
      </c>
      <c r="J114" s="679">
        <v>89.3</v>
      </c>
      <c r="K114" s="555">
        <v>190.5</v>
      </c>
      <c r="L114" s="680">
        <v>-254.4</v>
      </c>
      <c r="M114" s="678">
        <v>544.29999999999995</v>
      </c>
      <c r="N114" s="678">
        <v>150.4</v>
      </c>
      <c r="O114" s="555">
        <v>-103.4</v>
      </c>
      <c r="P114" s="677">
        <v>-399.1</v>
      </c>
      <c r="Q114" s="678">
        <v>247</v>
      </c>
      <c r="R114" s="678">
        <v>-108.2</v>
      </c>
      <c r="S114" s="555">
        <v>240.2</v>
      </c>
      <c r="T114" s="677">
        <v>726.1</v>
      </c>
      <c r="U114" s="678">
        <v>-1192.0999999999999</v>
      </c>
      <c r="V114" s="678">
        <v>198.5</v>
      </c>
      <c r="W114" s="555">
        <v>378.1</v>
      </c>
      <c r="X114" s="677">
        <v>286</v>
      </c>
      <c r="Y114" s="678">
        <v>-295.3</v>
      </c>
      <c r="Z114" s="678">
        <v>307</v>
      </c>
    </row>
    <row r="115" spans="1:26" ht="15" hidden="1" customHeight="1" outlineLevel="1" x14ac:dyDescent="0.15">
      <c r="A115" s="552" t="s">
        <v>435</v>
      </c>
      <c r="B115" s="552"/>
      <c r="C115" s="553"/>
      <c r="D115" s="554"/>
      <c r="E115" s="552"/>
      <c r="F115" s="552"/>
      <c r="G115" s="555">
        <v>303.39999999999998</v>
      </c>
      <c r="H115" s="677">
        <v>592.79999999999995</v>
      </c>
      <c r="I115" s="678">
        <v>541</v>
      </c>
      <c r="J115" s="678">
        <v>331.3</v>
      </c>
      <c r="K115" s="555">
        <v>486.7</v>
      </c>
      <c r="L115" s="681">
        <v>-93.4</v>
      </c>
      <c r="M115" s="678">
        <v>809.8</v>
      </c>
      <c r="N115" s="678">
        <v>381.5</v>
      </c>
      <c r="O115" s="676">
        <v>32</v>
      </c>
      <c r="P115" s="677">
        <v>-246.1</v>
      </c>
      <c r="Q115" s="678">
        <v>429.9</v>
      </c>
      <c r="R115" s="678">
        <v>220.4</v>
      </c>
      <c r="S115" s="555">
        <v>399.9</v>
      </c>
      <c r="T115" s="677">
        <v>966.5</v>
      </c>
      <c r="U115" s="678">
        <v>-821.7</v>
      </c>
      <c r="V115" s="678">
        <v>708.8</v>
      </c>
      <c r="W115" s="555">
        <v>657.7</v>
      </c>
      <c r="X115" s="677">
        <v>644.29999999999995</v>
      </c>
      <c r="Y115" s="679">
        <v>97.6</v>
      </c>
      <c r="Z115" s="678">
        <v>509</v>
      </c>
    </row>
    <row r="116" spans="1:26" ht="15" hidden="1" customHeight="1" outlineLevel="1" x14ac:dyDescent="0.15">
      <c r="A116" s="542" t="s">
        <v>436</v>
      </c>
      <c r="B116" s="542"/>
      <c r="C116" s="543"/>
      <c r="D116" s="544"/>
      <c r="E116" s="542"/>
      <c r="F116" s="542"/>
      <c r="G116" s="599">
        <v>217</v>
      </c>
      <c r="H116" s="673">
        <v>214.3</v>
      </c>
      <c r="I116" s="674">
        <v>211.07</v>
      </c>
      <c r="J116" s="674">
        <v>208.02</v>
      </c>
      <c r="K116" s="599">
        <v>205.77</v>
      </c>
      <c r="L116" s="675">
        <v>203.31</v>
      </c>
      <c r="M116" s="674">
        <v>203.62</v>
      </c>
      <c r="N116" s="674">
        <v>203.76</v>
      </c>
      <c r="O116" s="599">
        <v>203.87</v>
      </c>
      <c r="P116" s="673">
        <v>204.13</v>
      </c>
      <c r="Q116" s="674">
        <v>204.5</v>
      </c>
      <c r="R116" s="674">
        <v>204.65</v>
      </c>
      <c r="S116" s="599">
        <v>203.64</v>
      </c>
      <c r="T116" s="673">
        <v>202.63</v>
      </c>
      <c r="U116" s="674">
        <v>201.15</v>
      </c>
      <c r="V116" s="674">
        <v>200.04</v>
      </c>
      <c r="W116" s="599">
        <v>198.8</v>
      </c>
      <c r="X116" s="673">
        <v>198.11</v>
      </c>
      <c r="Y116" s="674">
        <v>197.18</v>
      </c>
      <c r="Z116" s="674">
        <v>196.08</v>
      </c>
    </row>
    <row r="117" spans="1:26" ht="15" hidden="1" customHeight="1" outlineLevel="1" x14ac:dyDescent="0.15">
      <c r="A117" s="542" t="s">
        <v>437</v>
      </c>
      <c r="B117" s="542"/>
      <c r="C117" s="543"/>
      <c r="D117" s="544"/>
      <c r="E117" s="542"/>
      <c r="F117" s="542"/>
      <c r="G117" s="599">
        <v>217.4</v>
      </c>
      <c r="H117" s="673">
        <v>214.43</v>
      </c>
      <c r="I117" s="674">
        <v>211.11</v>
      </c>
      <c r="J117" s="674">
        <v>208.02</v>
      </c>
      <c r="K117" s="599">
        <v>206.27</v>
      </c>
      <c r="L117" s="675">
        <v>203.36</v>
      </c>
      <c r="M117" s="674">
        <v>203.67</v>
      </c>
      <c r="N117" s="674">
        <v>203.88</v>
      </c>
      <c r="O117" s="599">
        <v>204.11</v>
      </c>
      <c r="P117" s="673">
        <v>204.74</v>
      </c>
      <c r="Q117" s="674">
        <v>205.27</v>
      </c>
      <c r="R117" s="674">
        <v>205.14</v>
      </c>
      <c r="S117" s="599">
        <v>203.64</v>
      </c>
      <c r="T117" s="673">
        <v>203.5</v>
      </c>
      <c r="U117" s="674">
        <v>202.43</v>
      </c>
      <c r="V117" s="674">
        <v>201.65</v>
      </c>
      <c r="W117" s="599">
        <v>200.88</v>
      </c>
      <c r="X117" s="673">
        <v>199.52</v>
      </c>
      <c r="Y117" s="674">
        <v>198.14</v>
      </c>
      <c r="Z117" s="674">
        <v>197.13</v>
      </c>
    </row>
    <row r="118" spans="1:26" ht="15" hidden="1" customHeight="1" outlineLevel="1" x14ac:dyDescent="0.15">
      <c r="A118" s="542"/>
      <c r="B118" s="542"/>
      <c r="C118" s="543"/>
      <c r="D118" s="544"/>
      <c r="E118" s="542"/>
      <c r="F118" s="542"/>
      <c r="G118" s="639"/>
      <c r="H118" s="673"/>
      <c r="I118" s="674"/>
      <c r="J118" s="674"/>
      <c r="K118" s="599"/>
      <c r="L118" s="675"/>
      <c r="M118" s="674"/>
      <c r="N118" s="674"/>
      <c r="O118" s="599"/>
      <c r="P118" s="673"/>
      <c r="Q118" s="674"/>
      <c r="R118" s="674"/>
      <c r="S118" s="599"/>
      <c r="T118" s="673"/>
      <c r="U118" s="674"/>
      <c r="V118" s="674"/>
      <c r="W118" s="599"/>
      <c r="X118" s="673"/>
      <c r="Y118" s="674"/>
      <c r="Z118" s="674"/>
    </row>
    <row r="119" spans="1:26" ht="15" hidden="1" customHeight="1" outlineLevel="1" x14ac:dyDescent="0.15">
      <c r="A119" s="542" t="s">
        <v>438</v>
      </c>
      <c r="B119" s="542"/>
      <c r="C119" s="543"/>
      <c r="D119" s="544"/>
      <c r="E119" s="542"/>
      <c r="F119" s="542"/>
      <c r="G119" s="639">
        <v>1.1499999999999999</v>
      </c>
      <c r="H119" s="640">
        <v>1.31</v>
      </c>
      <c r="I119" s="641">
        <v>1.33</v>
      </c>
      <c r="J119" s="641">
        <v>1.1599999999999999</v>
      </c>
      <c r="K119" s="639">
        <v>1.44</v>
      </c>
      <c r="L119" s="642">
        <v>0.79</v>
      </c>
      <c r="M119" s="641">
        <v>1.3</v>
      </c>
      <c r="N119" s="641">
        <v>1.1299999999999999</v>
      </c>
      <c r="O119" s="639">
        <v>0.66</v>
      </c>
      <c r="P119" s="640">
        <v>0.75</v>
      </c>
      <c r="Q119" s="641">
        <v>0.89</v>
      </c>
      <c r="R119" s="641">
        <v>1.61</v>
      </c>
      <c r="S119" s="639">
        <v>0.78</v>
      </c>
      <c r="T119" s="640">
        <v>1.19</v>
      </c>
      <c r="U119" s="641">
        <v>1.84</v>
      </c>
      <c r="V119" s="641">
        <v>2.5499999999999998</v>
      </c>
      <c r="W119" s="639">
        <v>1.41</v>
      </c>
      <c r="X119" s="640">
        <v>1.81</v>
      </c>
      <c r="Y119" s="641">
        <v>1.99</v>
      </c>
      <c r="Z119" s="641">
        <v>1.03</v>
      </c>
    </row>
    <row r="120" spans="1:26" ht="15" hidden="1" customHeight="1" outlineLevel="1" x14ac:dyDescent="0.15">
      <c r="A120" s="542" t="s">
        <v>439</v>
      </c>
      <c r="B120" s="542"/>
      <c r="C120" s="543"/>
      <c r="D120" s="544"/>
      <c r="E120" s="542"/>
      <c r="F120" s="542"/>
      <c r="G120" s="639">
        <v>1.1499999999999999</v>
      </c>
      <c r="H120" s="640">
        <v>1.31</v>
      </c>
      <c r="I120" s="641">
        <v>1.33</v>
      </c>
      <c r="J120" s="641">
        <v>1.1599999999999999</v>
      </c>
      <c r="K120" s="639">
        <v>1.44</v>
      </c>
      <c r="L120" s="642">
        <v>0.79</v>
      </c>
      <c r="M120" s="641">
        <v>1.3</v>
      </c>
      <c r="N120" s="641">
        <v>1.1299999999999999</v>
      </c>
      <c r="O120" s="639">
        <v>0.66</v>
      </c>
      <c r="P120" s="640">
        <v>0.75</v>
      </c>
      <c r="Q120" s="641">
        <v>0.89</v>
      </c>
      <c r="R120" s="641">
        <v>1.6</v>
      </c>
      <c r="S120" s="639">
        <v>0.78</v>
      </c>
      <c r="T120" s="640">
        <v>1.18</v>
      </c>
      <c r="U120" s="641">
        <v>1.83</v>
      </c>
      <c r="V120" s="641">
        <v>2.5299999999999998</v>
      </c>
      <c r="W120" s="639">
        <v>1.39</v>
      </c>
      <c r="X120" s="640">
        <v>1.8</v>
      </c>
      <c r="Y120" s="641">
        <v>1.98</v>
      </c>
      <c r="Z120" s="641">
        <v>1.02</v>
      </c>
    </row>
    <row r="121" spans="1:26" ht="15" hidden="1" customHeight="1" outlineLevel="1" x14ac:dyDescent="0.15">
      <c r="A121" s="542" t="s">
        <v>440</v>
      </c>
      <c r="B121" s="542"/>
      <c r="C121" s="543"/>
      <c r="D121" s="544"/>
      <c r="E121" s="542"/>
      <c r="F121" s="542"/>
      <c r="G121" s="639">
        <v>1.1499999999999999</v>
      </c>
      <c r="H121" s="640">
        <v>1.31</v>
      </c>
      <c r="I121" s="641">
        <v>1.33</v>
      </c>
      <c r="J121" s="641">
        <v>1.1599999999999999</v>
      </c>
      <c r="K121" s="639">
        <v>1.44</v>
      </c>
      <c r="L121" s="642">
        <v>0.79</v>
      </c>
      <c r="M121" s="641">
        <v>1.3</v>
      </c>
      <c r="N121" s="641">
        <v>1.1299999999999999</v>
      </c>
      <c r="O121" s="639">
        <v>0.66</v>
      </c>
      <c r="P121" s="640">
        <v>0.75</v>
      </c>
      <c r="Q121" s="641">
        <v>0.89</v>
      </c>
      <c r="R121" s="641">
        <v>1.61</v>
      </c>
      <c r="S121" s="639">
        <v>0.78</v>
      </c>
      <c r="T121" s="640">
        <v>1.19</v>
      </c>
      <c r="U121" s="641">
        <v>1.84</v>
      </c>
      <c r="V121" s="641">
        <v>2.5499999999999998</v>
      </c>
      <c r="W121" s="639">
        <v>1.41</v>
      </c>
      <c r="X121" s="640">
        <v>1.81</v>
      </c>
      <c r="Y121" s="641">
        <v>1.99</v>
      </c>
      <c r="Z121" s="641">
        <v>1.03</v>
      </c>
    </row>
    <row r="122" spans="1:26" ht="15" hidden="1" customHeight="1" outlineLevel="1" x14ac:dyDescent="0.15">
      <c r="A122" s="542" t="s">
        <v>441</v>
      </c>
      <c r="B122" s="542"/>
      <c r="C122" s="543"/>
      <c r="D122" s="544"/>
      <c r="E122" s="542"/>
      <c r="F122" s="542"/>
      <c r="G122" s="639">
        <v>1.1499999999999999</v>
      </c>
      <c r="H122" s="640">
        <v>1.31</v>
      </c>
      <c r="I122" s="641">
        <v>1.33</v>
      </c>
      <c r="J122" s="641">
        <v>1.1599999999999999</v>
      </c>
      <c r="K122" s="639">
        <v>1.44</v>
      </c>
      <c r="L122" s="642">
        <v>0.79</v>
      </c>
      <c r="M122" s="641">
        <v>1.3</v>
      </c>
      <c r="N122" s="641">
        <v>1.1299999999999999</v>
      </c>
      <c r="O122" s="639">
        <v>0.66</v>
      </c>
      <c r="P122" s="640">
        <v>0.75</v>
      </c>
      <c r="Q122" s="641">
        <v>0.89</v>
      </c>
      <c r="R122" s="641">
        <v>1.6</v>
      </c>
      <c r="S122" s="639">
        <v>0.78</v>
      </c>
      <c r="T122" s="640">
        <v>1.18</v>
      </c>
      <c r="U122" s="641">
        <v>1.83</v>
      </c>
      <c r="V122" s="641">
        <v>2.5299999999999998</v>
      </c>
      <c r="W122" s="639">
        <v>1.39</v>
      </c>
      <c r="X122" s="640">
        <v>1.8</v>
      </c>
      <c r="Y122" s="641">
        <v>1.98</v>
      </c>
      <c r="Z122" s="641">
        <v>1.02</v>
      </c>
    </row>
    <row r="123" spans="1:26" ht="15" hidden="1" customHeight="1" outlineLevel="1" x14ac:dyDescent="0.15">
      <c r="A123" s="542" t="s">
        <v>442</v>
      </c>
      <c r="B123" s="542"/>
      <c r="C123" s="543"/>
      <c r="D123" s="544"/>
      <c r="E123" s="542"/>
      <c r="F123" s="542"/>
      <c r="G123" s="599">
        <v>249.1</v>
      </c>
      <c r="H123" s="673">
        <v>280.89999999999998</v>
      </c>
      <c r="I123" s="674">
        <v>281.2</v>
      </c>
      <c r="J123" s="674">
        <v>242</v>
      </c>
      <c r="K123" s="599">
        <v>296.2</v>
      </c>
      <c r="L123" s="675">
        <v>161</v>
      </c>
      <c r="M123" s="674">
        <v>265.5</v>
      </c>
      <c r="N123" s="674">
        <v>231.1</v>
      </c>
      <c r="O123" s="599">
        <v>135.4</v>
      </c>
      <c r="P123" s="673">
        <v>153</v>
      </c>
      <c r="Q123" s="674">
        <v>182.9</v>
      </c>
      <c r="R123" s="674">
        <v>328.6</v>
      </c>
      <c r="S123" s="599">
        <v>159.69999999999999</v>
      </c>
      <c r="T123" s="673">
        <v>240.4</v>
      </c>
      <c r="U123" s="674">
        <v>370.4</v>
      </c>
      <c r="V123" s="674">
        <v>510.3</v>
      </c>
      <c r="W123" s="599">
        <v>279.60000000000002</v>
      </c>
      <c r="X123" s="673">
        <v>358.3</v>
      </c>
      <c r="Y123" s="674">
        <v>392.9</v>
      </c>
      <c r="Z123" s="674">
        <v>202</v>
      </c>
    </row>
    <row r="124" spans="1:26" ht="15" hidden="1" customHeight="1" outlineLevel="1" x14ac:dyDescent="0.15">
      <c r="A124" s="542" t="s">
        <v>443</v>
      </c>
      <c r="B124" s="542"/>
      <c r="C124" s="543"/>
      <c r="D124" s="544"/>
      <c r="E124" s="542"/>
      <c r="F124" s="542"/>
      <c r="G124" s="599">
        <v>249.1</v>
      </c>
      <c r="H124" s="673">
        <v>280.89999999999998</v>
      </c>
      <c r="I124" s="674">
        <v>281.2</v>
      </c>
      <c r="J124" s="674">
        <v>242</v>
      </c>
      <c r="K124" s="599">
        <v>296.2</v>
      </c>
      <c r="L124" s="675">
        <v>161</v>
      </c>
      <c r="M124" s="674">
        <v>265.5</v>
      </c>
      <c r="N124" s="674">
        <v>231.1</v>
      </c>
      <c r="O124" s="599">
        <v>135.4</v>
      </c>
      <c r="P124" s="673">
        <v>153</v>
      </c>
      <c r="Q124" s="674">
        <v>182.9</v>
      </c>
      <c r="R124" s="674">
        <v>328.6</v>
      </c>
      <c r="S124" s="599">
        <v>159.69999999999999</v>
      </c>
      <c r="T124" s="673">
        <v>240.4</v>
      </c>
      <c r="U124" s="674">
        <v>370.4</v>
      </c>
      <c r="V124" s="674">
        <v>510.3</v>
      </c>
      <c r="W124" s="599">
        <v>279.60000000000002</v>
      </c>
      <c r="X124" s="673">
        <v>358.3</v>
      </c>
      <c r="Y124" s="674">
        <v>392.9</v>
      </c>
      <c r="Z124" s="674">
        <v>202</v>
      </c>
    </row>
    <row r="125" spans="1:26" ht="15" hidden="1" customHeight="1" outlineLevel="1" x14ac:dyDescent="0.15">
      <c r="A125" s="542" t="s">
        <v>444</v>
      </c>
      <c r="B125" s="542"/>
      <c r="C125" s="543"/>
      <c r="D125" s="544"/>
      <c r="E125" s="542"/>
      <c r="F125" s="542"/>
      <c r="G125" s="669"/>
      <c r="H125" s="640">
        <v>7.5</v>
      </c>
      <c r="I125" s="641">
        <v>7.1</v>
      </c>
      <c r="J125" s="641">
        <v>6.7</v>
      </c>
      <c r="K125" s="639">
        <v>8.1</v>
      </c>
      <c r="L125" s="672"/>
      <c r="M125" s="671"/>
      <c r="N125" s="671"/>
      <c r="O125" s="669"/>
      <c r="P125" s="670"/>
      <c r="Q125" s="671"/>
      <c r="R125" s="671"/>
      <c r="S125" s="669"/>
      <c r="T125" s="670"/>
      <c r="U125" s="671"/>
      <c r="V125" s="671"/>
      <c r="W125" s="669"/>
      <c r="X125" s="670"/>
      <c r="Y125" s="671"/>
      <c r="Z125" s="671"/>
    </row>
    <row r="126" spans="1:26" ht="15" hidden="1" customHeight="1" outlineLevel="1" x14ac:dyDescent="0.15">
      <c r="A126" s="542" t="s">
        <v>445</v>
      </c>
      <c r="B126" s="542"/>
      <c r="C126" s="543"/>
      <c r="D126" s="544"/>
      <c r="E126" s="542"/>
      <c r="F126" s="542"/>
      <c r="G126" s="639">
        <v>26.5</v>
      </c>
      <c r="H126" s="640">
        <v>27.4</v>
      </c>
      <c r="I126" s="641">
        <v>27.5</v>
      </c>
      <c r="J126" s="641">
        <v>27.7</v>
      </c>
      <c r="K126" s="639">
        <v>27.5</v>
      </c>
      <c r="L126" s="642">
        <v>28.5</v>
      </c>
      <c r="M126" s="641">
        <v>27.3</v>
      </c>
      <c r="N126" s="641">
        <v>29.8</v>
      </c>
      <c r="O126" s="639">
        <v>28</v>
      </c>
      <c r="P126" s="640">
        <v>29.3</v>
      </c>
      <c r="Q126" s="641">
        <v>30.3</v>
      </c>
      <c r="R126" s="641">
        <v>30.4</v>
      </c>
      <c r="S126" s="639">
        <v>29.8</v>
      </c>
      <c r="T126" s="640">
        <v>30</v>
      </c>
      <c r="U126" s="641">
        <v>26.7</v>
      </c>
      <c r="V126" s="641">
        <v>26.8</v>
      </c>
      <c r="W126" s="639">
        <v>27</v>
      </c>
      <c r="X126" s="640">
        <v>26.8</v>
      </c>
      <c r="Y126" s="641">
        <v>26</v>
      </c>
      <c r="Z126" s="641">
        <v>28.1</v>
      </c>
    </row>
    <row r="127" spans="1:26" ht="15" hidden="1" customHeight="1" outlineLevel="1" x14ac:dyDescent="0.15">
      <c r="A127" s="542" t="s">
        <v>446</v>
      </c>
      <c r="B127" s="542"/>
      <c r="C127" s="543"/>
      <c r="D127" s="544"/>
      <c r="E127" s="542"/>
      <c r="F127" s="542"/>
      <c r="G127" s="669"/>
      <c r="H127" s="670"/>
      <c r="I127" s="671"/>
      <c r="J127" s="671"/>
      <c r="K127" s="669"/>
      <c r="L127" s="672"/>
      <c r="M127" s="674">
        <v>2987.4</v>
      </c>
      <c r="N127" s="674">
        <v>2991.9</v>
      </c>
      <c r="O127" s="599">
        <v>2968.6</v>
      </c>
      <c r="P127" s="673">
        <v>2987.4</v>
      </c>
      <c r="Q127" s="674">
        <v>2992.1</v>
      </c>
      <c r="R127" s="674">
        <v>2969.8</v>
      </c>
      <c r="S127" s="599">
        <v>2987.8</v>
      </c>
      <c r="T127" s="673">
        <v>2994.4</v>
      </c>
      <c r="U127" s="674">
        <v>3045</v>
      </c>
      <c r="V127" s="674">
        <v>2963.5</v>
      </c>
      <c r="W127" s="599">
        <v>2999.1</v>
      </c>
      <c r="X127" s="673">
        <v>3036</v>
      </c>
      <c r="Y127" s="674">
        <v>3111.3</v>
      </c>
      <c r="Z127" s="674">
        <v>3123.5</v>
      </c>
    </row>
    <row r="128" spans="1:26" ht="15" hidden="1" customHeight="1" outlineLevel="1" x14ac:dyDescent="0.15">
      <c r="A128" s="542" t="s">
        <v>447</v>
      </c>
      <c r="B128" s="542"/>
      <c r="C128" s="543"/>
      <c r="D128" s="544"/>
      <c r="E128" s="542"/>
      <c r="F128" s="542"/>
      <c r="G128" s="669"/>
      <c r="H128" s="670"/>
      <c r="I128" s="671"/>
      <c r="J128" s="671"/>
      <c r="K128" s="669"/>
      <c r="L128" s="675">
        <v>274.10000000000002</v>
      </c>
      <c r="M128" s="674">
        <v>316.5</v>
      </c>
      <c r="N128" s="674">
        <v>318.5</v>
      </c>
      <c r="O128" s="599">
        <v>296.89999999999998</v>
      </c>
      <c r="P128" s="673">
        <v>273.5</v>
      </c>
      <c r="Q128" s="674">
        <v>362.6</v>
      </c>
      <c r="R128" s="674">
        <v>260.39999999999998</v>
      </c>
      <c r="S128" s="599">
        <v>220.1</v>
      </c>
      <c r="T128" s="673">
        <v>335.3</v>
      </c>
      <c r="U128" s="674">
        <v>463.8</v>
      </c>
      <c r="V128" s="674">
        <v>416.2</v>
      </c>
      <c r="W128" s="599">
        <v>369.6</v>
      </c>
      <c r="X128" s="673">
        <v>469.5</v>
      </c>
      <c r="Y128" s="674">
        <v>518.4</v>
      </c>
      <c r="Z128" s="674">
        <v>490.2</v>
      </c>
    </row>
    <row r="129" spans="1:26" ht="15" hidden="1" customHeight="1" outlineLevel="1" x14ac:dyDescent="0.15">
      <c r="A129" s="542" t="s">
        <v>448</v>
      </c>
      <c r="B129" s="542"/>
      <c r="C129" s="543"/>
      <c r="D129" s="544"/>
      <c r="E129" s="542"/>
      <c r="F129" s="542"/>
      <c r="G129" s="669"/>
      <c r="H129" s="670"/>
      <c r="I129" s="671"/>
      <c r="J129" s="671"/>
      <c r="K129" s="669"/>
      <c r="L129" s="672"/>
      <c r="M129" s="641">
        <v>-12.7</v>
      </c>
      <c r="N129" s="671"/>
      <c r="O129" s="669"/>
      <c r="P129" s="670"/>
      <c r="Q129" s="671"/>
      <c r="R129" s="671"/>
      <c r="S129" s="669"/>
      <c r="T129" s="670"/>
      <c r="U129" s="671"/>
      <c r="V129" s="671"/>
      <c r="W129" s="669"/>
      <c r="X129" s="670"/>
      <c r="Y129" s="671"/>
      <c r="Z129" s="671"/>
    </row>
    <row r="130" spans="1:26" ht="15" hidden="1" customHeight="1" outlineLevel="1" x14ac:dyDescent="0.15">
      <c r="A130" s="542" t="s">
        <v>449</v>
      </c>
      <c r="B130" s="542"/>
      <c r="C130" s="543"/>
      <c r="D130" s="544"/>
      <c r="E130" s="542"/>
      <c r="F130" s="542"/>
      <c r="G130" s="639">
        <v>1.1499999999999999</v>
      </c>
      <c r="H130" s="640">
        <v>1.31</v>
      </c>
      <c r="I130" s="641">
        <v>1.33</v>
      </c>
      <c r="J130" s="641">
        <v>1.1599999999999999</v>
      </c>
      <c r="K130" s="639">
        <v>1.44</v>
      </c>
      <c r="L130" s="642">
        <v>0.79</v>
      </c>
      <c r="M130" s="641">
        <v>1.3</v>
      </c>
      <c r="N130" s="641">
        <v>1.1299999999999999</v>
      </c>
      <c r="O130" s="639">
        <v>0.66</v>
      </c>
      <c r="P130" s="640">
        <v>0.75</v>
      </c>
      <c r="Q130" s="641">
        <v>0.89</v>
      </c>
      <c r="R130" s="641">
        <v>1.61</v>
      </c>
      <c r="S130" s="639">
        <v>0.78</v>
      </c>
      <c r="T130" s="640">
        <v>1.19</v>
      </c>
      <c r="U130" s="641">
        <v>1.84</v>
      </c>
      <c r="V130" s="641">
        <v>2.5499999999999998</v>
      </c>
      <c r="W130" s="639">
        <v>1.41</v>
      </c>
      <c r="X130" s="640">
        <v>1.81</v>
      </c>
      <c r="Y130" s="641">
        <v>1.99</v>
      </c>
      <c r="Z130" s="641">
        <v>1.03</v>
      </c>
    </row>
    <row r="131" spans="1:26" ht="15" hidden="1" customHeight="1" outlineLevel="1" x14ac:dyDescent="0.15">
      <c r="A131" s="542" t="s">
        <v>450</v>
      </c>
      <c r="B131" s="542"/>
      <c r="C131" s="543"/>
      <c r="D131" s="544"/>
      <c r="E131" s="542"/>
      <c r="F131" s="542"/>
      <c r="G131" s="639">
        <v>1.1499999999999999</v>
      </c>
      <c r="H131" s="640">
        <v>1.31</v>
      </c>
      <c r="I131" s="641">
        <v>1.33</v>
      </c>
      <c r="J131" s="641">
        <v>1.1599999999999999</v>
      </c>
      <c r="K131" s="639">
        <v>1.44</v>
      </c>
      <c r="L131" s="642">
        <v>0.79</v>
      </c>
      <c r="M131" s="641">
        <v>1.3</v>
      </c>
      <c r="N131" s="641">
        <v>1.1299999999999999</v>
      </c>
      <c r="O131" s="639">
        <v>0.66</v>
      </c>
      <c r="P131" s="640">
        <v>0.75</v>
      </c>
      <c r="Q131" s="641">
        <v>0.89</v>
      </c>
      <c r="R131" s="641">
        <v>1.6</v>
      </c>
      <c r="S131" s="639">
        <v>0.78</v>
      </c>
      <c r="T131" s="640">
        <v>1.18</v>
      </c>
      <c r="U131" s="641">
        <v>1.83</v>
      </c>
      <c r="V131" s="641">
        <v>2.5299999999999998</v>
      </c>
      <c r="W131" s="639">
        <v>1.39</v>
      </c>
      <c r="X131" s="640">
        <v>1.8</v>
      </c>
      <c r="Y131" s="641">
        <v>1.98</v>
      </c>
      <c r="Z131" s="641">
        <v>1.02</v>
      </c>
    </row>
    <row r="132" spans="1:26" ht="15" hidden="1" customHeight="1" outlineLevel="1" x14ac:dyDescent="0.15">
      <c r="A132" s="542" t="s">
        <v>451</v>
      </c>
      <c r="B132" s="542"/>
      <c r="C132" s="543"/>
      <c r="D132" s="544"/>
      <c r="E132" s="542"/>
      <c r="F132" s="542"/>
      <c r="G132" s="599">
        <v>217</v>
      </c>
      <c r="H132" s="673">
        <v>214.3</v>
      </c>
      <c r="I132" s="674">
        <v>211.07</v>
      </c>
      <c r="J132" s="674">
        <v>208.02</v>
      </c>
      <c r="K132" s="599">
        <v>205.77</v>
      </c>
      <c r="L132" s="675">
        <v>203.31</v>
      </c>
      <c r="M132" s="674">
        <v>203.62</v>
      </c>
      <c r="N132" s="674">
        <v>203.76</v>
      </c>
      <c r="O132" s="599">
        <v>203.87</v>
      </c>
      <c r="P132" s="673">
        <v>204.13</v>
      </c>
      <c r="Q132" s="674">
        <v>204.5</v>
      </c>
      <c r="R132" s="674">
        <v>204.65</v>
      </c>
      <c r="S132" s="599">
        <v>203.64</v>
      </c>
      <c r="T132" s="673">
        <v>202.63</v>
      </c>
      <c r="U132" s="674">
        <v>201.15</v>
      </c>
      <c r="V132" s="674">
        <v>200.04</v>
      </c>
      <c r="W132" s="599">
        <v>198.8</v>
      </c>
      <c r="X132" s="673">
        <v>198.11</v>
      </c>
      <c r="Y132" s="674">
        <v>197.18</v>
      </c>
      <c r="Z132" s="674">
        <v>196.08</v>
      </c>
    </row>
    <row r="133" spans="1:26" ht="15" hidden="1" customHeight="1" outlineLevel="1" x14ac:dyDescent="0.15">
      <c r="A133" s="542" t="s">
        <v>452</v>
      </c>
      <c r="B133" s="542"/>
      <c r="C133" s="543"/>
      <c r="D133" s="544"/>
      <c r="E133" s="542"/>
      <c r="F133" s="542"/>
      <c r="G133" s="599">
        <v>217.4</v>
      </c>
      <c r="H133" s="673">
        <v>214.43</v>
      </c>
      <c r="I133" s="674">
        <v>211.11</v>
      </c>
      <c r="J133" s="674">
        <v>208.02</v>
      </c>
      <c r="K133" s="599">
        <v>206.27</v>
      </c>
      <c r="L133" s="675">
        <v>203.36</v>
      </c>
      <c r="M133" s="674">
        <v>203.67</v>
      </c>
      <c r="N133" s="674">
        <v>203.88</v>
      </c>
      <c r="O133" s="599">
        <v>204.11</v>
      </c>
      <c r="P133" s="673">
        <v>204.74</v>
      </c>
      <c r="Q133" s="674">
        <v>205.27</v>
      </c>
      <c r="R133" s="674">
        <v>205.14</v>
      </c>
      <c r="S133" s="599">
        <v>203.64</v>
      </c>
      <c r="T133" s="673">
        <v>203.5</v>
      </c>
      <c r="U133" s="674">
        <v>202.43</v>
      </c>
      <c r="V133" s="674">
        <v>201.65</v>
      </c>
      <c r="W133" s="599">
        <v>200.88</v>
      </c>
      <c r="X133" s="673">
        <v>199.52</v>
      </c>
      <c r="Y133" s="674">
        <v>198.14</v>
      </c>
      <c r="Z133" s="674">
        <v>197.13</v>
      </c>
    </row>
    <row r="134" spans="1:26" ht="15" hidden="1" customHeight="1" outlineLevel="1" x14ac:dyDescent="0.15">
      <c r="A134" s="542" t="s">
        <v>453</v>
      </c>
      <c r="B134" s="542"/>
      <c r="C134" s="543"/>
      <c r="D134" s="544"/>
      <c r="E134" s="542"/>
      <c r="F134" s="542"/>
      <c r="G134" s="599">
        <v>249.1</v>
      </c>
      <c r="H134" s="673">
        <v>280.89999999999998</v>
      </c>
      <c r="I134" s="674">
        <v>281.2</v>
      </c>
      <c r="J134" s="674">
        <v>242</v>
      </c>
      <c r="K134" s="599">
        <v>296.2</v>
      </c>
      <c r="L134" s="675">
        <v>161</v>
      </c>
      <c r="M134" s="674">
        <v>265.5</v>
      </c>
      <c r="N134" s="674">
        <v>231.1</v>
      </c>
      <c r="O134" s="599">
        <v>135.4</v>
      </c>
      <c r="P134" s="673">
        <v>153</v>
      </c>
      <c r="Q134" s="674">
        <v>182.9</v>
      </c>
      <c r="R134" s="674">
        <v>328.6</v>
      </c>
      <c r="S134" s="599">
        <v>159.69999999999999</v>
      </c>
      <c r="T134" s="673">
        <v>240.4</v>
      </c>
      <c r="U134" s="674">
        <v>370.4</v>
      </c>
      <c r="V134" s="674">
        <v>510.3</v>
      </c>
      <c r="W134" s="599">
        <v>279.60000000000002</v>
      </c>
      <c r="X134" s="673">
        <v>358.3</v>
      </c>
      <c r="Y134" s="674">
        <v>392.9</v>
      </c>
      <c r="Z134" s="674">
        <v>202</v>
      </c>
    </row>
    <row r="135" spans="1:26" ht="15" hidden="1" customHeight="1" outlineLevel="1" x14ac:dyDescent="0.15">
      <c r="A135" s="542" t="s">
        <v>454</v>
      </c>
      <c r="B135" s="542"/>
      <c r="C135" s="543"/>
      <c r="D135" s="544"/>
      <c r="E135" s="542"/>
      <c r="F135" s="542"/>
      <c r="G135" s="599">
        <v>249.1</v>
      </c>
      <c r="H135" s="673">
        <v>280.89999999999998</v>
      </c>
      <c r="I135" s="674">
        <v>281.2</v>
      </c>
      <c r="J135" s="674">
        <v>242</v>
      </c>
      <c r="K135" s="599">
        <v>296.2</v>
      </c>
      <c r="L135" s="675">
        <v>161</v>
      </c>
      <c r="M135" s="674">
        <v>265.5</v>
      </c>
      <c r="N135" s="674">
        <v>231.1</v>
      </c>
      <c r="O135" s="599">
        <v>135.4</v>
      </c>
      <c r="P135" s="673">
        <v>153</v>
      </c>
      <c r="Q135" s="674">
        <v>182.9</v>
      </c>
      <c r="R135" s="674">
        <v>328.6</v>
      </c>
      <c r="S135" s="599">
        <v>159.69999999999999</v>
      </c>
      <c r="T135" s="673">
        <v>240.4</v>
      </c>
      <c r="U135" s="674">
        <v>370.4</v>
      </c>
      <c r="V135" s="674">
        <v>510.3</v>
      </c>
      <c r="W135" s="599">
        <v>279.60000000000002</v>
      </c>
      <c r="X135" s="673">
        <v>358.3</v>
      </c>
      <c r="Y135" s="674">
        <v>392.9</v>
      </c>
      <c r="Z135" s="674">
        <v>202</v>
      </c>
    </row>
    <row r="136" spans="1:26" ht="15" hidden="1" customHeight="1" outlineLevel="1" x14ac:dyDescent="0.15">
      <c r="A136" s="542" t="s">
        <v>455</v>
      </c>
      <c r="B136" s="542"/>
      <c r="C136" s="543"/>
      <c r="D136" s="544"/>
      <c r="E136" s="542"/>
      <c r="F136" s="542"/>
      <c r="G136" s="599">
        <v>249.1</v>
      </c>
      <c r="H136" s="673">
        <v>280.89999999999998</v>
      </c>
      <c r="I136" s="674">
        <v>281.2</v>
      </c>
      <c r="J136" s="674">
        <v>242</v>
      </c>
      <c r="K136" s="599">
        <v>296.2</v>
      </c>
      <c r="L136" s="675">
        <v>161</v>
      </c>
      <c r="M136" s="674">
        <v>265.5</v>
      </c>
      <c r="N136" s="674">
        <v>231.1</v>
      </c>
      <c r="O136" s="599">
        <v>135.4</v>
      </c>
      <c r="P136" s="673">
        <v>153</v>
      </c>
      <c r="Q136" s="674">
        <v>182.9</v>
      </c>
      <c r="R136" s="674">
        <v>328.6</v>
      </c>
      <c r="S136" s="599">
        <v>159.69999999999999</v>
      </c>
      <c r="T136" s="673">
        <v>240.4</v>
      </c>
      <c r="U136" s="674">
        <v>370.4</v>
      </c>
      <c r="V136" s="674">
        <v>510.3</v>
      </c>
      <c r="W136" s="599">
        <v>279.60000000000002</v>
      </c>
      <c r="X136" s="673">
        <v>358.3</v>
      </c>
      <c r="Y136" s="674">
        <v>392.9</v>
      </c>
      <c r="Z136" s="674">
        <v>202</v>
      </c>
    </row>
    <row r="137" spans="1:26" ht="15" hidden="1" customHeight="1" outlineLevel="1" x14ac:dyDescent="0.15">
      <c r="A137" s="542" t="s">
        <v>456</v>
      </c>
      <c r="B137" s="542"/>
      <c r="C137" s="543"/>
      <c r="D137" s="544"/>
      <c r="E137" s="542"/>
      <c r="F137" s="542"/>
      <c r="G137" s="599">
        <v>249.1</v>
      </c>
      <c r="H137" s="673">
        <v>280.89999999999998</v>
      </c>
      <c r="I137" s="674">
        <v>281.2</v>
      </c>
      <c r="J137" s="674">
        <v>242</v>
      </c>
      <c r="K137" s="599">
        <v>296.2</v>
      </c>
      <c r="L137" s="675">
        <v>161</v>
      </c>
      <c r="M137" s="674">
        <v>265.5</v>
      </c>
      <c r="N137" s="674">
        <v>231.1</v>
      </c>
      <c r="O137" s="599">
        <v>135.4</v>
      </c>
      <c r="P137" s="673">
        <v>153</v>
      </c>
      <c r="Q137" s="674">
        <v>182.9</v>
      </c>
      <c r="R137" s="674">
        <v>328.6</v>
      </c>
      <c r="S137" s="599">
        <v>159.69999999999999</v>
      </c>
      <c r="T137" s="673">
        <v>240.4</v>
      </c>
      <c r="U137" s="674">
        <v>370.4</v>
      </c>
      <c r="V137" s="674">
        <v>510.3</v>
      </c>
      <c r="W137" s="599">
        <v>279.60000000000002</v>
      </c>
      <c r="X137" s="673">
        <v>358.3</v>
      </c>
      <c r="Y137" s="674">
        <v>392.9</v>
      </c>
      <c r="Z137" s="674">
        <v>202</v>
      </c>
    </row>
    <row r="138" spans="1:26" ht="15" hidden="1" customHeight="1" outlineLevel="1" x14ac:dyDescent="0.15">
      <c r="A138" s="542" t="s">
        <v>457</v>
      </c>
      <c r="B138" s="542"/>
      <c r="C138" s="543"/>
      <c r="D138" s="544"/>
      <c r="E138" s="542"/>
      <c r="F138" s="542"/>
      <c r="G138" s="639">
        <v>1.1499999999999999</v>
      </c>
      <c r="H138" s="640">
        <v>1.31</v>
      </c>
      <c r="I138" s="641">
        <v>1.33</v>
      </c>
      <c r="J138" s="641">
        <v>1.1599999999999999</v>
      </c>
      <c r="K138" s="639">
        <v>1.44</v>
      </c>
      <c r="L138" s="642">
        <v>0.79</v>
      </c>
      <c r="M138" s="641">
        <v>1.3</v>
      </c>
      <c r="N138" s="641">
        <v>1.1299999999999999</v>
      </c>
      <c r="O138" s="639">
        <v>0.66</v>
      </c>
      <c r="P138" s="640">
        <v>0.75</v>
      </c>
      <c r="Q138" s="641">
        <v>0.89</v>
      </c>
      <c r="R138" s="641">
        <v>1.6</v>
      </c>
      <c r="S138" s="639">
        <v>0.78</v>
      </c>
      <c r="T138" s="640">
        <v>1.18</v>
      </c>
      <c r="U138" s="641">
        <v>1.83</v>
      </c>
      <c r="V138" s="641">
        <v>2.5299999999999998</v>
      </c>
      <c r="W138" s="639">
        <v>1.39</v>
      </c>
      <c r="X138" s="640">
        <v>1.8</v>
      </c>
      <c r="Y138" s="641">
        <v>1.98</v>
      </c>
      <c r="Z138" s="641">
        <v>1.02</v>
      </c>
    </row>
    <row r="139" spans="1:26" ht="15" hidden="1" customHeight="1" outlineLevel="1" x14ac:dyDescent="0.15">
      <c r="A139" s="542" t="s">
        <v>458</v>
      </c>
      <c r="B139" s="542"/>
      <c r="C139" s="543"/>
      <c r="D139" s="544"/>
      <c r="E139" s="542"/>
      <c r="F139" s="542"/>
      <c r="G139" s="639">
        <v>1.1499999999999999</v>
      </c>
      <c r="H139" s="640">
        <v>1.31</v>
      </c>
      <c r="I139" s="641">
        <v>1.33</v>
      </c>
      <c r="J139" s="641">
        <v>1.1599999999999999</v>
      </c>
      <c r="K139" s="639">
        <v>1.44</v>
      </c>
      <c r="L139" s="642">
        <v>0.79</v>
      </c>
      <c r="M139" s="641">
        <v>1.3</v>
      </c>
      <c r="N139" s="641">
        <v>1.1299999999999999</v>
      </c>
      <c r="O139" s="639">
        <v>0.66</v>
      </c>
      <c r="P139" s="640">
        <v>0.75</v>
      </c>
      <c r="Q139" s="641">
        <v>0.89</v>
      </c>
      <c r="R139" s="641">
        <v>1.61</v>
      </c>
      <c r="S139" s="639">
        <v>0.78</v>
      </c>
      <c r="T139" s="640">
        <v>1.19</v>
      </c>
      <c r="U139" s="641">
        <v>1.84</v>
      </c>
      <c r="V139" s="641">
        <v>2.5499999999999998</v>
      </c>
      <c r="W139" s="639">
        <v>1.41</v>
      </c>
      <c r="X139" s="640">
        <v>1.81</v>
      </c>
      <c r="Y139" s="641">
        <v>1.99</v>
      </c>
      <c r="Z139" s="641">
        <v>1.03</v>
      </c>
    </row>
    <row r="140" spans="1:26" ht="15" hidden="1" customHeight="1" outlineLevel="1" x14ac:dyDescent="0.15">
      <c r="A140" s="542" t="s">
        <v>459</v>
      </c>
      <c r="B140" s="542"/>
      <c r="C140" s="543"/>
      <c r="D140" s="544"/>
      <c r="E140" s="542"/>
      <c r="F140" s="542"/>
      <c r="G140" s="639">
        <v>1</v>
      </c>
      <c r="H140" s="640">
        <v>1</v>
      </c>
      <c r="I140" s="641">
        <v>1</v>
      </c>
      <c r="J140" s="641">
        <v>1</v>
      </c>
      <c r="K140" s="639">
        <v>1</v>
      </c>
      <c r="L140" s="642">
        <v>1</v>
      </c>
      <c r="M140" s="641">
        <v>1</v>
      </c>
      <c r="N140" s="641">
        <v>1</v>
      </c>
      <c r="O140" s="639">
        <v>1</v>
      </c>
      <c r="P140" s="640">
        <v>1</v>
      </c>
      <c r="Q140" s="641">
        <v>1</v>
      </c>
      <c r="R140" s="641">
        <v>1</v>
      </c>
      <c r="S140" s="639">
        <v>1</v>
      </c>
      <c r="T140" s="640">
        <v>1</v>
      </c>
      <c r="U140" s="641">
        <v>1</v>
      </c>
      <c r="V140" s="641">
        <v>1</v>
      </c>
      <c r="W140" s="639">
        <v>1</v>
      </c>
      <c r="X140" s="640">
        <v>1</v>
      </c>
      <c r="Y140" s="641">
        <v>1</v>
      </c>
      <c r="Z140" s="641">
        <v>1</v>
      </c>
    </row>
    <row r="141" spans="1:26" ht="15" hidden="1" customHeight="1" outlineLevel="1" x14ac:dyDescent="0.15">
      <c r="A141" s="542" t="s">
        <v>460</v>
      </c>
      <c r="B141" s="542"/>
      <c r="C141" s="543"/>
      <c r="D141" s="544"/>
      <c r="E141" s="542"/>
      <c r="F141" s="542"/>
      <c r="G141" s="639">
        <v>1</v>
      </c>
      <c r="H141" s="640">
        <v>1</v>
      </c>
      <c r="I141" s="641">
        <v>1</v>
      </c>
      <c r="J141" s="641">
        <v>1</v>
      </c>
      <c r="K141" s="639">
        <v>1</v>
      </c>
      <c r="L141" s="642">
        <v>1</v>
      </c>
      <c r="M141" s="641">
        <v>1</v>
      </c>
      <c r="N141" s="641">
        <v>1</v>
      </c>
      <c r="O141" s="639">
        <v>1</v>
      </c>
      <c r="P141" s="640">
        <v>1</v>
      </c>
      <c r="Q141" s="641">
        <v>1</v>
      </c>
      <c r="R141" s="641">
        <v>1</v>
      </c>
      <c r="S141" s="639">
        <v>1</v>
      </c>
      <c r="T141" s="640">
        <v>1</v>
      </c>
      <c r="U141" s="641">
        <v>1</v>
      </c>
      <c r="V141" s="641">
        <v>1</v>
      </c>
      <c r="W141" s="639">
        <v>1</v>
      </c>
      <c r="X141" s="640">
        <v>1</v>
      </c>
      <c r="Y141" s="641">
        <v>1</v>
      </c>
      <c r="Z141" s="641">
        <v>1</v>
      </c>
    </row>
    <row r="142" spans="1:26" hidden="1" outlineLevel="1" x14ac:dyDescent="0.15"/>
    <row r="143" spans="1:26" collapsed="1" x14ac:dyDescent="0.15"/>
    <row r="147" spans="1:35" x14ac:dyDescent="0.15">
      <c r="A147" s="682" t="s">
        <v>373</v>
      </c>
    </row>
    <row r="148" spans="1:35" s="540" customFormat="1" x14ac:dyDescent="0.15">
      <c r="A148" s="683" t="s">
        <v>374</v>
      </c>
      <c r="D148" s="684"/>
      <c r="G148" s="535">
        <v>1435.1</v>
      </c>
      <c r="H148" s="536">
        <v>1501.9</v>
      </c>
      <c r="I148" s="537">
        <v>1504.5</v>
      </c>
      <c r="J148" s="537">
        <v>1501.9</v>
      </c>
      <c r="K148" s="535">
        <v>1508.3</v>
      </c>
      <c r="L148" s="538">
        <v>1527.7</v>
      </c>
      <c r="M148" s="537">
        <v>1522.7</v>
      </c>
      <c r="N148" s="537">
        <v>1483.4</v>
      </c>
      <c r="O148" s="537">
        <v>1485.1</v>
      </c>
      <c r="P148" s="537">
        <v>1525.8</v>
      </c>
      <c r="Q148" s="537">
        <v>1522.1</v>
      </c>
      <c r="R148" s="537">
        <v>1500.8</v>
      </c>
      <c r="S148" s="537">
        <v>1529.3</v>
      </c>
      <c r="T148" s="537">
        <v>1544.9</v>
      </c>
      <c r="U148" s="537">
        <v>1572.3</v>
      </c>
      <c r="V148" s="537">
        <v>1559.6</v>
      </c>
      <c r="W148" s="537">
        <v>1581.5</v>
      </c>
      <c r="X148" s="537">
        <v>1609.6</v>
      </c>
      <c r="Y148" s="537">
        <v>1641.4</v>
      </c>
      <c r="Z148" s="537">
        <v>1657.7</v>
      </c>
      <c r="AA148" s="539"/>
      <c r="AD148" s="289"/>
      <c r="AE148" s="289"/>
      <c r="AF148" s="289"/>
      <c r="AG148" s="289"/>
      <c r="AH148" s="289"/>
      <c r="AI148" s="289"/>
    </row>
    <row r="149" spans="1:35" s="540" customFormat="1" x14ac:dyDescent="0.15">
      <c r="A149" s="683" t="s">
        <v>375</v>
      </c>
      <c r="D149" s="684"/>
      <c r="G149" s="575"/>
      <c r="H149" s="576">
        <v>945.48840000000018</v>
      </c>
      <c r="I149" s="577">
        <v>987.39490000000012</v>
      </c>
      <c r="J149" s="577">
        <v>985.14679999999998</v>
      </c>
      <c r="K149" s="575">
        <v>977.91239999999993</v>
      </c>
      <c r="L149" s="577">
        <v>942.26869999999997</v>
      </c>
      <c r="M149" s="577">
        <v>1030.2759999999998</v>
      </c>
      <c r="N149" s="577">
        <v>657.36390000000006</v>
      </c>
      <c r="O149" s="577">
        <v>0</v>
      </c>
      <c r="P149" s="577">
        <v>1107.1018999999999</v>
      </c>
      <c r="Q149" s="577">
        <v>1064.9951999999998</v>
      </c>
      <c r="R149" s="577">
        <v>1153.4322</v>
      </c>
      <c r="S149" s="577">
        <v>1149.9971</v>
      </c>
      <c r="T149" s="577">
        <v>1069.9816000000001</v>
      </c>
      <c r="U149" s="577">
        <v>961.30770000000007</v>
      </c>
      <c r="V149" s="577">
        <v>972.08489999999983</v>
      </c>
      <c r="W149" s="577">
        <v>1005.0559000000001</v>
      </c>
      <c r="X149" s="577">
        <v>643.20000000000005</v>
      </c>
      <c r="Y149" s="577">
        <v>162.92000000000002</v>
      </c>
      <c r="Z149" s="577">
        <v>166</v>
      </c>
      <c r="AA149" s="539"/>
    </row>
    <row r="150" spans="1:35" s="540" customFormat="1" x14ac:dyDescent="0.15">
      <c r="A150" s="683" t="s">
        <v>376</v>
      </c>
      <c r="D150" s="684"/>
      <c r="G150" s="575"/>
      <c r="H150" s="576">
        <v>307.71159999999992</v>
      </c>
      <c r="I150" s="577">
        <v>264.80509999999987</v>
      </c>
      <c r="J150" s="577">
        <v>262.45320000000009</v>
      </c>
      <c r="K150" s="575">
        <v>268.98760000000004</v>
      </c>
      <c r="L150" s="577">
        <v>322.33130000000006</v>
      </c>
      <c r="M150" s="577">
        <v>230.62400000000019</v>
      </c>
      <c r="N150" s="577">
        <v>594.13610000000006</v>
      </c>
      <c r="O150" s="577">
        <v>1296.8999999999999</v>
      </c>
      <c r="P150" s="577">
        <v>275.19810000000007</v>
      </c>
      <c r="Q150" s="577">
        <v>341.40480000000008</v>
      </c>
      <c r="R150" s="577">
        <v>168.06779999999998</v>
      </c>
      <c r="S150" s="577">
        <v>290.80289999999991</v>
      </c>
      <c r="T150" s="577">
        <v>393.51840000000004</v>
      </c>
      <c r="U150" s="577">
        <v>439.39229999999986</v>
      </c>
      <c r="V150" s="577">
        <v>292.1151000000001</v>
      </c>
      <c r="W150" s="577">
        <v>301.44409999999993</v>
      </c>
      <c r="X150" s="577">
        <v>102</v>
      </c>
      <c r="Y150" s="577">
        <v>101.825</v>
      </c>
      <c r="Z150" s="577">
        <v>103.75</v>
      </c>
      <c r="AA150" s="539"/>
    </row>
    <row r="151" spans="1:35" x14ac:dyDescent="0.15">
      <c r="A151" s="685" t="s">
        <v>377</v>
      </c>
      <c r="D151" s="686" t="s">
        <v>378</v>
      </c>
      <c r="G151" s="687"/>
      <c r="H151" s="415">
        <v>0.6295281976163527</v>
      </c>
      <c r="I151" s="308">
        <v>0.65629438351611835</v>
      </c>
      <c r="J151" s="308">
        <v>0.6559336840002663</v>
      </c>
      <c r="K151" s="416">
        <v>0.6483540409732812</v>
      </c>
      <c r="L151" s="308">
        <v>0.61678909471754917</v>
      </c>
      <c r="M151" s="308">
        <v>0.67661128259013581</v>
      </c>
      <c r="N151" s="308">
        <v>0.44314675744910342</v>
      </c>
      <c r="O151" s="308">
        <v>0</v>
      </c>
      <c r="P151" s="308">
        <v>0.72558782278149159</v>
      </c>
      <c r="Q151" s="308">
        <v>0.6996880625451678</v>
      </c>
      <c r="R151" s="308">
        <v>0.76854490938166309</v>
      </c>
      <c r="S151" s="308">
        <v>0.75197613287124832</v>
      </c>
      <c r="T151" s="308">
        <v>0.69258955272185907</v>
      </c>
      <c r="U151" s="308">
        <v>0.6114022133180691</v>
      </c>
      <c r="V151" s="308">
        <v>0.62329116440112842</v>
      </c>
      <c r="W151" s="308">
        <v>0.63550799873537789</v>
      </c>
      <c r="X151" s="308">
        <v>0.39960238568588474</v>
      </c>
      <c r="Y151" s="308">
        <v>9.9256732057999272E-2</v>
      </c>
      <c r="Z151" s="308">
        <v>0.10013874645593292</v>
      </c>
      <c r="AD151" s="540"/>
      <c r="AE151" s="540"/>
      <c r="AF151" s="540"/>
      <c r="AG151" s="540"/>
      <c r="AH151" s="540"/>
      <c r="AI151" s="540"/>
    </row>
    <row r="152" spans="1:35" s="418" customFormat="1" x14ac:dyDescent="0.15">
      <c r="A152" s="417" t="s">
        <v>379</v>
      </c>
      <c r="D152" s="419"/>
      <c r="G152" s="420"/>
      <c r="H152" s="421">
        <v>248.7</v>
      </c>
      <c r="I152" s="422">
        <v>252.3</v>
      </c>
      <c r="J152" s="422">
        <v>254.3</v>
      </c>
      <c r="K152" s="423">
        <v>261.39999999999998</v>
      </c>
      <c r="L152" s="424">
        <v>263.10000000000002</v>
      </c>
      <c r="M152" s="422">
        <v>261.8</v>
      </c>
      <c r="N152" s="422">
        <v>231.9</v>
      </c>
      <c r="O152" s="422">
        <v>188.2</v>
      </c>
      <c r="P152" s="422">
        <v>143.5</v>
      </c>
      <c r="Q152" s="422">
        <v>115.7</v>
      </c>
      <c r="R152" s="422">
        <v>179.3</v>
      </c>
      <c r="S152" s="422">
        <v>88.5</v>
      </c>
      <c r="T152" s="422">
        <v>81.400000000000006</v>
      </c>
      <c r="U152" s="422">
        <v>171.6</v>
      </c>
      <c r="V152" s="422">
        <v>295.39999999999998</v>
      </c>
      <c r="W152" s="422">
        <v>275</v>
      </c>
      <c r="X152" s="422">
        <v>228.7</v>
      </c>
      <c r="Y152" s="422">
        <v>312.5</v>
      </c>
      <c r="Z152" s="422">
        <v>343.1</v>
      </c>
      <c r="AA152" s="422">
        <v>357.8</v>
      </c>
      <c r="AD152" s="289"/>
      <c r="AE152" s="289"/>
      <c r="AF152" s="289"/>
      <c r="AG152" s="289"/>
      <c r="AH152" s="289"/>
      <c r="AI152" s="289"/>
    </row>
    <row r="153" spans="1:35" x14ac:dyDescent="0.15">
      <c r="H153" s="688"/>
      <c r="I153" s="689"/>
      <c r="J153" s="689"/>
      <c r="K153" s="687"/>
      <c r="L153" s="689"/>
      <c r="M153" s="689"/>
      <c r="N153" s="689"/>
      <c r="O153" s="689"/>
      <c r="P153" s="689"/>
      <c r="Q153" s="689"/>
      <c r="R153" s="689"/>
      <c r="S153" s="645"/>
      <c r="T153" s="645"/>
      <c r="U153" s="689"/>
      <c r="V153" s="689"/>
      <c r="W153" s="689"/>
      <c r="X153" s="689"/>
      <c r="Y153" s="689"/>
      <c r="Z153" s="689"/>
      <c r="AA153" s="689"/>
      <c r="AD153" s="418"/>
      <c r="AE153" s="418"/>
      <c r="AF153" s="418"/>
      <c r="AG153" s="418"/>
      <c r="AH153" s="418"/>
      <c r="AI153" s="418"/>
    </row>
    <row r="154" spans="1:35" x14ac:dyDescent="0.15">
      <c r="H154" s="688"/>
      <c r="I154" s="689"/>
      <c r="J154" s="689"/>
      <c r="K154" s="687"/>
      <c r="L154" s="689"/>
      <c r="M154" s="689"/>
      <c r="N154" s="689"/>
      <c r="O154" s="689"/>
      <c r="P154" s="689"/>
      <c r="Q154" s="689"/>
      <c r="R154" s="689"/>
      <c r="S154" s="645"/>
      <c r="T154" s="645"/>
      <c r="U154" s="689"/>
      <c r="V154" s="689"/>
      <c r="W154" s="689"/>
      <c r="X154" s="689"/>
      <c r="Y154" s="689"/>
      <c r="Z154" s="689"/>
      <c r="AA154" s="689"/>
    </row>
    <row r="155" spans="1:35" x14ac:dyDescent="0.15">
      <c r="A155" s="690" t="s">
        <v>380</v>
      </c>
      <c r="H155" s="688"/>
      <c r="I155" s="689"/>
      <c r="J155" s="689"/>
      <c r="K155" s="687"/>
      <c r="L155" s="689"/>
      <c r="M155" s="689"/>
      <c r="N155" s="689"/>
      <c r="O155" s="689"/>
      <c r="P155" s="689"/>
      <c r="Q155" s="689"/>
      <c r="R155" s="689"/>
      <c r="S155" s="645"/>
      <c r="T155" s="645"/>
      <c r="U155" s="689"/>
      <c r="V155" s="689"/>
      <c r="W155" s="689"/>
      <c r="X155" s="689"/>
      <c r="Y155" s="689"/>
      <c r="Z155" s="689"/>
      <c r="AA155" s="689"/>
    </row>
    <row r="156" spans="1:35" x14ac:dyDescent="0.15">
      <c r="A156" s="691" t="s">
        <v>381</v>
      </c>
      <c r="G156" s="539">
        <v>622.1</v>
      </c>
      <c r="H156" s="684">
        <v>641.6</v>
      </c>
      <c r="I156" s="540">
        <v>644.79999999999995</v>
      </c>
      <c r="J156" s="540">
        <v>648</v>
      </c>
      <c r="K156" s="539"/>
      <c r="L156" s="540">
        <v>666.2</v>
      </c>
      <c r="M156" s="540">
        <v>664.4</v>
      </c>
      <c r="N156" s="540">
        <v>646.70000000000005</v>
      </c>
      <c r="O156" s="539"/>
      <c r="P156" s="684">
        <v>672.9</v>
      </c>
      <c r="Q156" s="540">
        <v>672.2</v>
      </c>
      <c r="R156" s="540">
        <v>663.8</v>
      </c>
      <c r="S156" s="539">
        <v>682.9</v>
      </c>
      <c r="T156" s="684">
        <v>685.5</v>
      </c>
      <c r="U156" s="540">
        <v>706.5</v>
      </c>
      <c r="V156" s="540">
        <v>713.1</v>
      </c>
      <c r="W156" s="539">
        <v>732.9</v>
      </c>
      <c r="X156" s="684">
        <v>745</v>
      </c>
      <c r="Y156" s="540">
        <v>772.3</v>
      </c>
      <c r="Z156" s="540">
        <v>775</v>
      </c>
    </row>
    <row r="157" spans="1:35" x14ac:dyDescent="0.15">
      <c r="A157" s="691" t="s">
        <v>382</v>
      </c>
      <c r="G157" s="539">
        <v>473.9</v>
      </c>
      <c r="H157" s="684">
        <v>479.27520000000004</v>
      </c>
      <c r="I157" s="540">
        <v>481.66559999999998</v>
      </c>
      <c r="J157" s="540">
        <v>480.81599999999997</v>
      </c>
      <c r="K157" s="539">
        <v>0</v>
      </c>
      <c r="L157" s="540">
        <v>487.65840000000003</v>
      </c>
      <c r="M157" s="540">
        <v>483.68319999999994</v>
      </c>
      <c r="N157" s="540">
        <v>479.2047</v>
      </c>
      <c r="O157" s="540">
        <v>0</v>
      </c>
      <c r="P157" s="540">
        <v>503.32919999999996</v>
      </c>
      <c r="Q157" s="540">
        <v>502.13340000000005</v>
      </c>
      <c r="R157" s="540">
        <v>523.73820000000001</v>
      </c>
      <c r="S157" s="540">
        <v>534.71069999999997</v>
      </c>
      <c r="T157" s="540">
        <v>505.899</v>
      </c>
      <c r="U157" s="540">
        <v>469.11600000000004</v>
      </c>
      <c r="V157" s="540">
        <v>447.11369999999999</v>
      </c>
      <c r="W157" s="540">
        <v>469.7888999999999</v>
      </c>
      <c r="X157" s="540">
        <v>480</v>
      </c>
      <c r="Y157" s="540">
        <v>0</v>
      </c>
      <c r="Z157" s="540">
        <v>0</v>
      </c>
    </row>
    <row r="158" spans="1:35" x14ac:dyDescent="0.15">
      <c r="A158" s="691" t="s">
        <v>383</v>
      </c>
      <c r="G158" s="539">
        <v>153.03659999999999</v>
      </c>
      <c r="H158" s="692">
        <v>161.6832</v>
      </c>
      <c r="I158" s="539">
        <v>164.42399999999998</v>
      </c>
      <c r="J158" s="539">
        <v>167.83199999999999</v>
      </c>
      <c r="K158" s="539">
        <v>0</v>
      </c>
      <c r="L158" s="539">
        <v>183.87120000000002</v>
      </c>
      <c r="M158" s="539">
        <v>185.36759999999998</v>
      </c>
      <c r="N158" s="539">
        <v>189.48310000000001</v>
      </c>
      <c r="O158" s="539">
        <v>0</v>
      </c>
      <c r="P158" s="539">
        <v>139.9632</v>
      </c>
      <c r="Q158" s="539">
        <v>192.92140000000001</v>
      </c>
      <c r="R158" s="539">
        <v>186.52780000000001</v>
      </c>
      <c r="S158" s="539">
        <v>204.18709999999999</v>
      </c>
      <c r="T158" s="539">
        <v>147.38249999999999</v>
      </c>
      <c r="U158" s="539">
        <v>213.363</v>
      </c>
      <c r="V158" s="539">
        <v>217.49549999999999</v>
      </c>
      <c r="W158" s="539">
        <v>217.67129999999997</v>
      </c>
      <c r="X158" s="539">
        <v>0</v>
      </c>
      <c r="Y158" s="539">
        <v>0</v>
      </c>
      <c r="Z158" s="539">
        <v>0</v>
      </c>
    </row>
    <row r="159" spans="1:35" x14ac:dyDescent="0.15">
      <c r="A159" s="691" t="s">
        <v>384</v>
      </c>
      <c r="G159" s="425">
        <v>0.246</v>
      </c>
      <c r="H159" s="426">
        <v>0.252</v>
      </c>
      <c r="I159" s="426">
        <v>0.255</v>
      </c>
      <c r="J159" s="426">
        <v>0.25900000000000001</v>
      </c>
      <c r="K159" s="428">
        <v>0.27100000000000002</v>
      </c>
      <c r="L159" s="288">
        <v>0.27600000000000002</v>
      </c>
      <c r="M159" s="426">
        <v>0.27899999999999997</v>
      </c>
      <c r="N159" s="426">
        <v>0.29299999999999998</v>
      </c>
      <c r="O159" s="426">
        <v>0</v>
      </c>
      <c r="P159" s="426">
        <v>0.20800000000000002</v>
      </c>
      <c r="Q159" s="426">
        <v>0.28699999999999998</v>
      </c>
      <c r="R159" s="426">
        <v>0.28100000000000003</v>
      </c>
      <c r="S159" s="426">
        <v>0.29899999999999999</v>
      </c>
      <c r="T159" s="426">
        <v>0.215</v>
      </c>
      <c r="U159" s="426">
        <v>0.30199999999999999</v>
      </c>
      <c r="V159" s="426">
        <v>0.30499999999999999</v>
      </c>
      <c r="W159" s="426">
        <v>0.29699999999999999</v>
      </c>
      <c r="X159" s="509">
        <v>0</v>
      </c>
      <c r="Y159" s="509">
        <v>0</v>
      </c>
      <c r="Z159" s="509">
        <v>0</v>
      </c>
    </row>
    <row r="160" spans="1:35" x14ac:dyDescent="0.15">
      <c r="A160" s="691" t="s">
        <v>273</v>
      </c>
      <c r="G160" s="425">
        <v>0.76200000000000001</v>
      </c>
      <c r="H160" s="426">
        <v>0.747</v>
      </c>
      <c r="I160" s="426">
        <v>0.747</v>
      </c>
      <c r="J160" s="426">
        <v>0.74199999999999999</v>
      </c>
      <c r="K160" s="428">
        <v>0.74</v>
      </c>
      <c r="L160" s="288">
        <v>0.73199999999999998</v>
      </c>
      <c r="M160" s="426">
        <v>0.72799999999999998</v>
      </c>
      <c r="N160" s="426">
        <v>0.74099999999999999</v>
      </c>
      <c r="O160" s="426">
        <v>0</v>
      </c>
      <c r="P160" s="426">
        <v>0.748</v>
      </c>
      <c r="Q160" s="426">
        <v>0.747</v>
      </c>
      <c r="R160" s="426">
        <v>0.78900000000000003</v>
      </c>
      <c r="S160" s="426">
        <v>0.78299999999999992</v>
      </c>
      <c r="T160" s="426">
        <v>0.73799999999999999</v>
      </c>
      <c r="U160" s="426">
        <v>0.66400000000000003</v>
      </c>
      <c r="V160" s="426">
        <v>0.627</v>
      </c>
      <c r="W160" s="426">
        <v>0.6409999999999999</v>
      </c>
      <c r="X160" s="509">
        <v>0</v>
      </c>
      <c r="Y160" s="509">
        <v>0</v>
      </c>
      <c r="Z160" s="509">
        <v>0</v>
      </c>
    </row>
    <row r="161" spans="1:35" x14ac:dyDescent="0.15">
      <c r="A161" s="691" t="s">
        <v>82</v>
      </c>
      <c r="G161" s="425"/>
      <c r="H161" s="427">
        <v>0.64159999999998263</v>
      </c>
      <c r="I161" s="427">
        <v>-1.2896000000000072</v>
      </c>
      <c r="J161" s="427">
        <v>-0.64799999999996771</v>
      </c>
      <c r="K161" s="693">
        <v>0</v>
      </c>
      <c r="L161" s="290">
        <v>-5.3295999999999992</v>
      </c>
      <c r="M161" s="427">
        <v>-4.650799999999947</v>
      </c>
      <c r="N161" s="427">
        <v>-21.987799999999964</v>
      </c>
      <c r="O161" s="427">
        <v>0</v>
      </c>
      <c r="P161" s="427">
        <v>29.607600000000019</v>
      </c>
      <c r="Q161" s="427">
        <v>-22.854800000000012</v>
      </c>
      <c r="R161" s="427">
        <v>-46.466000000000065</v>
      </c>
      <c r="S161" s="427">
        <v>-55.997799999999984</v>
      </c>
      <c r="T161" s="427">
        <v>32.218500000000006</v>
      </c>
      <c r="U161" s="427">
        <v>24.020999999999958</v>
      </c>
      <c r="V161" s="427">
        <v>48.490800000000036</v>
      </c>
      <c r="W161" s="427">
        <v>45.439800000000105</v>
      </c>
      <c r="X161" s="427">
        <v>265</v>
      </c>
      <c r="Y161" s="427">
        <v>772.3</v>
      </c>
      <c r="Z161" s="427">
        <v>775</v>
      </c>
    </row>
    <row r="162" spans="1:35" x14ac:dyDescent="0.15">
      <c r="A162" s="691" t="s">
        <v>385</v>
      </c>
      <c r="G162" s="425"/>
      <c r="H162" s="426">
        <v>2.5798150381985633E-3</v>
      </c>
      <c r="I162" s="426">
        <v>-5.111375346809382E-3</v>
      </c>
      <c r="J162" s="426">
        <v>-2.5481714510419491E-3</v>
      </c>
      <c r="K162" s="428">
        <v>0</v>
      </c>
      <c r="L162" s="288">
        <v>-2.0256936526035722E-2</v>
      </c>
      <c r="M162" s="426">
        <v>-1.7764705882352738E-2</v>
      </c>
      <c r="N162" s="426">
        <v>-9.4815868909012349E-2</v>
      </c>
      <c r="O162" s="426">
        <v>0</v>
      </c>
      <c r="P162" s="426">
        <v>0.20632473867595832</v>
      </c>
      <c r="Q162" s="426">
        <v>-0.19753500432152127</v>
      </c>
      <c r="R162" s="426">
        <v>-0.25915225878416098</v>
      </c>
      <c r="S162" s="426">
        <v>-0.63274350282485858</v>
      </c>
      <c r="T162" s="426">
        <v>0.39580466830466837</v>
      </c>
      <c r="U162" s="426">
        <v>0.13998251748251725</v>
      </c>
      <c r="V162" s="426">
        <v>0.16415301286391348</v>
      </c>
      <c r="W162" s="426">
        <v>0.16523563636363675</v>
      </c>
      <c r="X162" s="427"/>
      <c r="Y162" s="290"/>
      <c r="Z162" s="290"/>
    </row>
    <row r="163" spans="1:35" x14ac:dyDescent="0.15">
      <c r="A163" s="691"/>
      <c r="D163" s="289"/>
      <c r="G163" s="288"/>
      <c r="H163" s="289"/>
      <c r="I163" s="288"/>
      <c r="J163" s="288"/>
      <c r="K163" s="288"/>
      <c r="L163" s="288"/>
      <c r="M163" s="288"/>
      <c r="N163" s="288"/>
      <c r="O163" s="288"/>
      <c r="P163" s="288"/>
      <c r="Q163" s="288"/>
      <c r="R163" s="288"/>
      <c r="S163" s="288"/>
      <c r="T163" s="288"/>
      <c r="U163" s="288"/>
      <c r="V163" s="288"/>
      <c r="W163" s="288"/>
      <c r="X163" s="289"/>
      <c r="AA163" s="289"/>
    </row>
    <row r="164" spans="1:35" x14ac:dyDescent="0.15">
      <c r="A164" s="690" t="s">
        <v>386</v>
      </c>
    </row>
    <row r="165" spans="1:35" x14ac:dyDescent="0.15">
      <c r="A165" s="691" t="s">
        <v>381</v>
      </c>
      <c r="H165" s="684">
        <v>404.9</v>
      </c>
      <c r="I165" s="540">
        <v>398</v>
      </c>
      <c r="J165" s="540">
        <v>397.4</v>
      </c>
      <c r="K165" s="539">
        <v>396.7</v>
      </c>
      <c r="L165" s="540">
        <v>405.3</v>
      </c>
      <c r="M165" s="540">
        <v>401.8</v>
      </c>
      <c r="N165" s="540">
        <v>390.7</v>
      </c>
      <c r="O165" s="539">
        <v>389</v>
      </c>
      <c r="P165" s="684">
        <v>401.5</v>
      </c>
      <c r="Q165" s="540">
        <v>393.3</v>
      </c>
      <c r="R165" s="540">
        <v>393.2</v>
      </c>
      <c r="S165" s="539">
        <v>391.2</v>
      </c>
      <c r="T165" s="684">
        <v>402.8</v>
      </c>
      <c r="U165" s="540">
        <v>401.1</v>
      </c>
      <c r="V165" s="540">
        <v>382.2</v>
      </c>
      <c r="W165" s="539">
        <v>385.4</v>
      </c>
      <c r="X165" s="684">
        <v>408</v>
      </c>
      <c r="Y165" s="540">
        <v>407.3</v>
      </c>
      <c r="Z165" s="540">
        <v>415</v>
      </c>
      <c r="AA165" s="508">
        <v>500</v>
      </c>
    </row>
    <row r="166" spans="1:35" s="506" customFormat="1" ht="15" customHeight="1" x14ac:dyDescent="0.15">
      <c r="A166" s="694" t="s">
        <v>387</v>
      </c>
      <c r="B166" s="552"/>
      <c r="C166" s="553"/>
      <c r="D166" s="554"/>
      <c r="E166" s="552"/>
      <c r="F166" s="552"/>
      <c r="G166" s="555"/>
      <c r="H166" s="389"/>
      <c r="I166" s="291">
        <v>-1.7041244751790509E-2</v>
      </c>
      <c r="J166" s="291">
        <v>-1.5075376884422682E-3</v>
      </c>
      <c r="K166" s="309">
        <v>-1.7614494212380189E-3</v>
      </c>
      <c r="L166" s="291">
        <v>2.1678850516763354E-2</v>
      </c>
      <c r="M166" s="291">
        <v>-8.6355785837651123E-3</v>
      </c>
      <c r="N166" s="291">
        <v>-2.7625684420109563E-2</v>
      </c>
      <c r="O166" s="291">
        <v>-4.3511645764013019E-3</v>
      </c>
      <c r="P166" s="291">
        <v>3.2133676092544985E-2</v>
      </c>
      <c r="Q166" s="291">
        <v>-2.0423412204234093E-2</v>
      </c>
      <c r="R166" s="291">
        <v>-2.5425883549459125E-4</v>
      </c>
      <c r="S166" s="291">
        <v>-5.0864699898270603E-3</v>
      </c>
      <c r="T166" s="291">
        <v>2.9652351738241368E-2</v>
      </c>
      <c r="U166" s="291">
        <v>-4.2204568023832883E-3</v>
      </c>
      <c r="V166" s="291">
        <v>-4.7120418848167624E-2</v>
      </c>
      <c r="W166" s="291">
        <v>8.3725798011512007E-3</v>
      </c>
      <c r="X166" s="291">
        <v>5.8640373637778992E-2</v>
      </c>
      <c r="Y166" s="291">
        <v>-1.7156862745097761E-3</v>
      </c>
      <c r="Z166" s="291">
        <v>1.890498404124721E-2</v>
      </c>
      <c r="AA166" s="291">
        <v>0.20481927710843373</v>
      </c>
      <c r="AD166" s="289"/>
      <c r="AE166" s="289"/>
      <c r="AF166" s="289"/>
      <c r="AG166" s="289"/>
      <c r="AH166" s="289"/>
      <c r="AI166" s="289"/>
    </row>
    <row r="167" spans="1:35" x14ac:dyDescent="0.15">
      <c r="A167" s="691" t="s">
        <v>382</v>
      </c>
      <c r="H167" s="684">
        <v>143.33459999999999</v>
      </c>
      <c r="I167" s="684">
        <v>169.15</v>
      </c>
      <c r="J167" s="684">
        <v>175.6508</v>
      </c>
      <c r="K167" s="692">
        <v>180.89519999999999</v>
      </c>
      <c r="L167" s="540">
        <v>132.53310000000002</v>
      </c>
      <c r="M167" s="684">
        <v>173.17580000000001</v>
      </c>
      <c r="N167" s="684">
        <v>178.1592</v>
      </c>
      <c r="O167" s="684">
        <v>0</v>
      </c>
      <c r="P167" s="684">
        <v>157.78949999999998</v>
      </c>
      <c r="Q167" s="684">
        <v>173.83860000000001</v>
      </c>
      <c r="R167" s="684">
        <v>183.2312</v>
      </c>
      <c r="S167" s="684">
        <v>167.82479999999998</v>
      </c>
      <c r="T167" s="684">
        <v>162.7312</v>
      </c>
      <c r="U167" s="684">
        <v>163.64879999999999</v>
      </c>
      <c r="V167" s="684">
        <v>162.81719999999999</v>
      </c>
      <c r="W167" s="684">
        <v>173.0446</v>
      </c>
      <c r="X167" s="684">
        <v>163.20000000000002</v>
      </c>
      <c r="Y167" s="684">
        <v>162.92000000000002</v>
      </c>
      <c r="Z167" s="684">
        <v>166</v>
      </c>
      <c r="AA167" s="684">
        <v>200</v>
      </c>
      <c r="AD167" s="506"/>
      <c r="AE167" s="506"/>
      <c r="AF167" s="506"/>
      <c r="AG167" s="506"/>
      <c r="AH167" s="506"/>
      <c r="AI167" s="506"/>
    </row>
    <row r="168" spans="1:35" x14ac:dyDescent="0.15">
      <c r="A168" s="691" t="s">
        <v>383</v>
      </c>
      <c r="H168" s="684">
        <v>91.507400000000004</v>
      </c>
      <c r="I168" s="684">
        <v>79.201999999999998</v>
      </c>
      <c r="J168" s="684">
        <v>77.492999999999995</v>
      </c>
      <c r="K168" s="692">
        <v>78.149899999999988</v>
      </c>
      <c r="L168" s="540">
        <v>81.870599999999996</v>
      </c>
      <c r="M168" s="684">
        <v>80.761800000000008</v>
      </c>
      <c r="N168" s="684">
        <v>75.795799999999986</v>
      </c>
      <c r="O168" s="684">
        <v>0</v>
      </c>
      <c r="P168" s="684">
        <v>74.277500000000003</v>
      </c>
      <c r="Q168" s="684">
        <v>73.5471</v>
      </c>
      <c r="R168" s="684">
        <v>74.707999999999998</v>
      </c>
      <c r="S168" s="684">
        <v>80.978399999999993</v>
      </c>
      <c r="T168" s="684">
        <v>77.740400000000008</v>
      </c>
      <c r="U168" s="684">
        <v>79.818899999999999</v>
      </c>
      <c r="V168" s="684">
        <v>78.350999999999999</v>
      </c>
      <c r="W168" s="684">
        <v>96.735399999999998</v>
      </c>
      <c r="X168" s="684">
        <v>102</v>
      </c>
      <c r="Y168" s="684">
        <v>101.825</v>
      </c>
      <c r="Z168" s="684">
        <v>103.75</v>
      </c>
      <c r="AA168" s="684">
        <v>125</v>
      </c>
    </row>
    <row r="169" spans="1:35" x14ac:dyDescent="0.15">
      <c r="A169" s="691" t="s">
        <v>384</v>
      </c>
      <c r="H169" s="695">
        <v>0.22600000000000001</v>
      </c>
      <c r="I169" s="695">
        <v>0.19899999999999998</v>
      </c>
      <c r="J169" s="695">
        <v>0.19500000000000001</v>
      </c>
      <c r="K169" s="696">
        <v>0.19699999999999998</v>
      </c>
      <c r="L169" s="697">
        <v>0.20199999999999999</v>
      </c>
      <c r="M169" s="695">
        <v>0.20100000000000001</v>
      </c>
      <c r="N169" s="695">
        <v>0.19399999999999998</v>
      </c>
      <c r="O169" s="695">
        <v>0</v>
      </c>
      <c r="P169" s="695">
        <v>0.185</v>
      </c>
      <c r="Q169" s="695">
        <v>0.187</v>
      </c>
      <c r="R169" s="695">
        <v>0.19</v>
      </c>
      <c r="S169" s="695">
        <v>0.20699999999999999</v>
      </c>
      <c r="T169" s="695">
        <v>0.193</v>
      </c>
      <c r="U169" s="695">
        <v>0.19899999999999998</v>
      </c>
      <c r="V169" s="695">
        <v>0.20499999999999999</v>
      </c>
      <c r="W169" s="695">
        <v>0.251</v>
      </c>
      <c r="X169" s="695">
        <v>0.25</v>
      </c>
      <c r="Y169" s="695">
        <v>0.25</v>
      </c>
      <c r="Z169" s="695">
        <v>0.25</v>
      </c>
      <c r="AA169" s="695">
        <v>0.25</v>
      </c>
    </row>
    <row r="170" spans="1:35" x14ac:dyDescent="0.15">
      <c r="A170" s="691" t="s">
        <v>273</v>
      </c>
      <c r="H170" s="695">
        <v>0.35399999999999998</v>
      </c>
      <c r="I170" s="695">
        <v>0.42499999999999999</v>
      </c>
      <c r="J170" s="695">
        <v>0.442</v>
      </c>
      <c r="K170" s="696">
        <v>0.45600000000000002</v>
      </c>
      <c r="L170" s="697">
        <v>0.32700000000000001</v>
      </c>
      <c r="M170" s="695">
        <v>0.43099999999999999</v>
      </c>
      <c r="N170" s="695">
        <v>0.45600000000000002</v>
      </c>
      <c r="O170" s="695">
        <v>0</v>
      </c>
      <c r="P170" s="695">
        <v>0.39299999999999996</v>
      </c>
      <c r="Q170" s="695">
        <v>0.442</v>
      </c>
      <c r="R170" s="695">
        <v>0.46600000000000003</v>
      </c>
      <c r="S170" s="695">
        <v>0.42899999999999999</v>
      </c>
      <c r="T170" s="695">
        <v>0.40399999999999997</v>
      </c>
      <c r="U170" s="695">
        <v>0.40799999999999997</v>
      </c>
      <c r="V170" s="695">
        <v>0.42599999999999999</v>
      </c>
      <c r="W170" s="695">
        <v>0.44900000000000001</v>
      </c>
      <c r="X170" s="695">
        <v>0.4</v>
      </c>
      <c r="Y170" s="695">
        <v>0.4</v>
      </c>
      <c r="Z170" s="695">
        <v>0.4</v>
      </c>
      <c r="AA170" s="695">
        <v>0.4</v>
      </c>
    </row>
    <row r="171" spans="1:35" x14ac:dyDescent="0.15">
      <c r="A171" s="691" t="s">
        <v>82</v>
      </c>
      <c r="H171" s="684">
        <v>170.05799999999994</v>
      </c>
      <c r="I171" s="684">
        <v>149.648</v>
      </c>
      <c r="J171" s="684">
        <v>144.25619999999998</v>
      </c>
      <c r="K171" s="684">
        <v>137.6549</v>
      </c>
      <c r="L171" s="684">
        <v>190.89629999999997</v>
      </c>
      <c r="M171" s="684">
        <v>147.86239999999998</v>
      </c>
      <c r="N171" s="684">
        <v>136.745</v>
      </c>
      <c r="O171" s="684">
        <v>389</v>
      </c>
      <c r="P171" s="684">
        <v>169.43300000000002</v>
      </c>
      <c r="Q171" s="684">
        <v>145.9143</v>
      </c>
      <c r="R171" s="684">
        <v>135.26079999999999</v>
      </c>
      <c r="S171" s="684">
        <v>142.39680000000001</v>
      </c>
      <c r="T171" s="684">
        <v>162.32839999999999</v>
      </c>
      <c r="U171" s="684">
        <v>157.63230000000004</v>
      </c>
      <c r="V171" s="684">
        <v>141.0318</v>
      </c>
      <c r="W171" s="684">
        <v>115.61999999999998</v>
      </c>
      <c r="X171" s="684">
        <v>142.79999999999998</v>
      </c>
      <c r="Y171" s="684">
        <v>142.55500000000001</v>
      </c>
      <c r="Z171" s="684">
        <v>145.25</v>
      </c>
      <c r="AA171" s="684">
        <v>175</v>
      </c>
      <c r="AB171" s="540">
        <v>605.60500000000002</v>
      </c>
    </row>
    <row r="172" spans="1:35" x14ac:dyDescent="0.15">
      <c r="A172" s="691" t="s">
        <v>385</v>
      </c>
      <c r="G172" s="425"/>
      <c r="H172" s="426">
        <v>0.68378769601930012</v>
      </c>
      <c r="I172" s="426">
        <v>0.59313515655965121</v>
      </c>
      <c r="J172" s="426">
        <v>0.56726779394416038</v>
      </c>
      <c r="K172" s="426">
        <v>0.52660635042081105</v>
      </c>
      <c r="L172" s="426">
        <v>0.72556556442417308</v>
      </c>
      <c r="M172" s="426">
        <v>0.56479144385026725</v>
      </c>
      <c r="N172" s="426">
        <v>0.58967227253126353</v>
      </c>
      <c r="O172" s="426">
        <v>2.0669500531349629</v>
      </c>
      <c r="P172" s="426">
        <v>1.1807177700348435</v>
      </c>
      <c r="Q172" s="426">
        <v>1.261143474503025</v>
      </c>
      <c r="R172" s="426">
        <v>0.75438259899609583</v>
      </c>
      <c r="S172" s="426">
        <v>1.6090033898305087</v>
      </c>
      <c r="T172" s="426">
        <v>1.9942063882063878</v>
      </c>
      <c r="U172" s="426">
        <v>0.91860314685314715</v>
      </c>
      <c r="V172" s="426">
        <v>0.47742654028436021</v>
      </c>
      <c r="W172" s="426">
        <v>0.42043636363636355</v>
      </c>
      <c r="X172" s="426">
        <v>0.62439877568867508</v>
      </c>
      <c r="Y172" s="426">
        <v>0.45617600000000003</v>
      </c>
      <c r="Z172" s="426">
        <v>0.42334596327601282</v>
      </c>
      <c r="AA172" s="426">
        <v>0.48910005589714922</v>
      </c>
    </row>
    <row r="173" spans="1:35" x14ac:dyDescent="0.15">
      <c r="A173" s="691"/>
      <c r="H173" s="695"/>
      <c r="I173" s="697"/>
      <c r="J173" s="697"/>
      <c r="K173" s="698"/>
      <c r="L173" s="697"/>
      <c r="M173" s="697"/>
      <c r="N173" s="697"/>
      <c r="O173" s="697"/>
      <c r="P173" s="695"/>
      <c r="Q173" s="697"/>
      <c r="R173" s="697"/>
      <c r="S173" s="697"/>
      <c r="T173" s="695"/>
      <c r="U173" s="697"/>
      <c r="V173" s="697"/>
      <c r="W173" s="697"/>
      <c r="X173" s="695"/>
      <c r="Y173" s="697"/>
      <c r="Z173" s="697"/>
    </row>
    <row r="174" spans="1:35" x14ac:dyDescent="0.15">
      <c r="A174" s="699" t="s">
        <v>388</v>
      </c>
    </row>
    <row r="175" spans="1:35" x14ac:dyDescent="0.15">
      <c r="A175" s="691" t="s">
        <v>381</v>
      </c>
      <c r="H175" s="684">
        <v>455.40000000000009</v>
      </c>
      <c r="I175" s="684">
        <v>461.70000000000005</v>
      </c>
      <c r="J175" s="684">
        <v>456.50000000000011</v>
      </c>
      <c r="K175" s="692">
        <v>1111.5999999999999</v>
      </c>
      <c r="L175" s="540">
        <v>456.2</v>
      </c>
      <c r="M175" s="684">
        <v>456.50000000000006</v>
      </c>
      <c r="N175" s="684">
        <v>446.00000000000006</v>
      </c>
      <c r="O175" s="684">
        <v>1096.0999999999999</v>
      </c>
      <c r="P175" s="684">
        <v>451.4</v>
      </c>
      <c r="Q175" s="684">
        <v>456.59999999999985</v>
      </c>
      <c r="R175" s="684">
        <v>443.8</v>
      </c>
      <c r="S175" s="684">
        <v>455.2</v>
      </c>
      <c r="T175" s="684">
        <v>456.60000000000008</v>
      </c>
      <c r="U175" s="684">
        <v>464.69999999999993</v>
      </c>
      <c r="V175" s="684">
        <v>464.2999999999999</v>
      </c>
      <c r="W175" s="684">
        <v>463.20000000000005</v>
      </c>
      <c r="X175" s="684">
        <v>456.59999999999991</v>
      </c>
      <c r="Y175" s="684">
        <v>454.10000000000014</v>
      </c>
      <c r="Z175" s="684">
        <v>467.70000000000005</v>
      </c>
      <c r="AA175" s="509">
        <v>-500</v>
      </c>
    </row>
    <row r="176" spans="1:35" x14ac:dyDescent="0.15">
      <c r="A176" s="691" t="s">
        <v>382</v>
      </c>
      <c r="H176" s="684">
        <v>322.87860000000012</v>
      </c>
      <c r="I176" s="684">
        <v>336.5793000000001</v>
      </c>
      <c r="J176" s="684">
        <v>328.68000000000006</v>
      </c>
      <c r="K176" s="692">
        <v>797.0172</v>
      </c>
      <c r="L176" s="540">
        <v>322.07719999999995</v>
      </c>
      <c r="M176" s="684">
        <v>373.41700000000003</v>
      </c>
      <c r="N176" s="684">
        <v>0</v>
      </c>
      <c r="O176" s="684">
        <v>0</v>
      </c>
      <c r="P176" s="684">
        <v>445.98319999999995</v>
      </c>
      <c r="Q176" s="684">
        <v>389.02319999999986</v>
      </c>
      <c r="R176" s="684">
        <v>446.46280000000002</v>
      </c>
      <c r="S176" s="684">
        <v>447.46159999999998</v>
      </c>
      <c r="T176" s="684">
        <v>401.35140000000007</v>
      </c>
      <c r="U176" s="684">
        <v>328.54289999999997</v>
      </c>
      <c r="V176" s="684">
        <v>362.15399999999994</v>
      </c>
      <c r="W176" s="684">
        <v>362.22240000000005</v>
      </c>
      <c r="X176" s="684">
        <v>0</v>
      </c>
      <c r="Y176" s="684">
        <v>0</v>
      </c>
      <c r="Z176" s="684">
        <v>0</v>
      </c>
    </row>
    <row r="177" spans="1:27" x14ac:dyDescent="0.15">
      <c r="A177" s="691" t="s">
        <v>389</v>
      </c>
      <c r="H177" s="684">
        <v>54.520999999999901</v>
      </c>
      <c r="I177" s="684">
        <v>21.179099999999892</v>
      </c>
      <c r="J177" s="684">
        <v>17.128200000000106</v>
      </c>
      <c r="K177" s="692">
        <v>190.83770000000004</v>
      </c>
      <c r="L177" s="540">
        <v>56.589500000000044</v>
      </c>
      <c r="M177" s="684">
        <v>-35.505399999999781</v>
      </c>
      <c r="N177" s="684">
        <v>328.85720000000003</v>
      </c>
      <c r="O177" s="684">
        <v>1296.8999999999999</v>
      </c>
      <c r="P177" s="684">
        <v>60.957400000000064</v>
      </c>
      <c r="Q177" s="684">
        <v>74.93630000000006</v>
      </c>
      <c r="R177" s="684">
        <v>-93.168000000000063</v>
      </c>
      <c r="S177" s="684">
        <v>5.6373999999999569</v>
      </c>
      <c r="T177" s="684">
        <v>168.3955</v>
      </c>
      <c r="U177" s="684">
        <v>146.21039999999991</v>
      </c>
      <c r="V177" s="684">
        <v>-3.7313999999998941</v>
      </c>
      <c r="W177" s="684">
        <v>-12.962600000000066</v>
      </c>
      <c r="X177" s="684">
        <v>0</v>
      </c>
      <c r="Y177" s="684">
        <v>0</v>
      </c>
      <c r="Z177" s="684">
        <v>0</v>
      </c>
    </row>
    <row r="178" spans="1:27" x14ac:dyDescent="0.15">
      <c r="A178" s="691" t="s">
        <v>384</v>
      </c>
      <c r="H178" s="426">
        <v>0.11972112428634143</v>
      </c>
      <c r="I178" s="426">
        <v>4.5871994801819124E-2</v>
      </c>
      <c r="J178" s="426">
        <v>3.7520700985761449E-2</v>
      </c>
      <c r="K178" s="428">
        <v>0.17167839150773664</v>
      </c>
      <c r="L178" s="288">
        <v>0.12404537483559852</v>
      </c>
      <c r="M178" s="426">
        <v>-7.7777437020810025E-2</v>
      </c>
      <c r="N178" s="426">
        <v>0.73734798206278029</v>
      </c>
      <c r="O178" s="426">
        <v>1.1831949639631421</v>
      </c>
      <c r="P178" s="426">
        <v>0.13504076207354912</v>
      </c>
      <c r="Q178" s="426">
        <v>0.16411804643013597</v>
      </c>
      <c r="R178" s="426">
        <v>-0.2099324019828753</v>
      </c>
      <c r="S178" s="426">
        <v>1.2384446397187955E-2</v>
      </c>
      <c r="T178" s="426">
        <v>0.36880310994305732</v>
      </c>
      <c r="U178" s="426">
        <v>0.31463395739186556</v>
      </c>
      <c r="V178" s="426">
        <v>-8.0366142580226042E-3</v>
      </c>
      <c r="W178" s="426">
        <v>-2.798488773747855E-2</v>
      </c>
      <c r="X178" s="426">
        <v>0</v>
      </c>
      <c r="Y178" s="426">
        <v>0</v>
      </c>
      <c r="Z178" s="426">
        <v>0</v>
      </c>
    </row>
    <row r="179" spans="1:27" x14ac:dyDescent="0.15">
      <c r="A179" s="691" t="s">
        <v>273</v>
      </c>
      <c r="H179" s="426">
        <v>0.70900000000000007</v>
      </c>
      <c r="I179" s="426">
        <v>0.72900000000000009</v>
      </c>
      <c r="J179" s="426">
        <v>0.72</v>
      </c>
      <c r="K179" s="428">
        <v>0.71700000000000008</v>
      </c>
      <c r="L179" s="288">
        <v>0.70599999999999996</v>
      </c>
      <c r="M179" s="426">
        <v>0.81799999999999995</v>
      </c>
      <c r="N179" s="426">
        <v>0</v>
      </c>
      <c r="O179" s="426">
        <v>0</v>
      </c>
      <c r="P179" s="426">
        <v>0.98799999999999999</v>
      </c>
      <c r="Q179" s="426">
        <v>0.85199999999999998</v>
      </c>
      <c r="R179" s="426">
        <v>1.006</v>
      </c>
      <c r="S179" s="426">
        <v>0.98299999999999998</v>
      </c>
      <c r="T179" s="426">
        <v>0.879</v>
      </c>
      <c r="U179" s="426">
        <v>0.70700000000000007</v>
      </c>
      <c r="V179" s="426">
        <v>0.78</v>
      </c>
      <c r="W179" s="426">
        <v>0.78200000000000003</v>
      </c>
      <c r="X179" s="426">
        <v>0</v>
      </c>
      <c r="Y179" s="426">
        <v>0</v>
      </c>
      <c r="Z179" s="426">
        <v>0</v>
      </c>
    </row>
    <row r="180" spans="1:27" x14ac:dyDescent="0.15">
      <c r="A180" s="691" t="s">
        <v>82</v>
      </c>
      <c r="H180" s="684">
        <v>78.00040000000007</v>
      </c>
      <c r="I180" s="684">
        <v>103.94160000000005</v>
      </c>
      <c r="J180" s="684">
        <v>110.69179999999994</v>
      </c>
      <c r="K180" s="684">
        <v>123.74509999999987</v>
      </c>
      <c r="L180" s="684">
        <v>77.533299999999997</v>
      </c>
      <c r="M180" s="684">
        <v>118.58839999999981</v>
      </c>
      <c r="N180" s="684">
        <v>117.14280000000002</v>
      </c>
      <c r="O180" s="684">
        <v>-200.79999999999995</v>
      </c>
      <c r="P180" s="684">
        <v>-55.54060000000004</v>
      </c>
      <c r="Q180" s="684">
        <v>-7.3595000000000681</v>
      </c>
      <c r="R180" s="684">
        <v>90.505200000000059</v>
      </c>
      <c r="S180" s="684">
        <v>2.1010000000000559</v>
      </c>
      <c r="T180" s="684">
        <v>-113.14689999999999</v>
      </c>
      <c r="U180" s="684">
        <v>-10.05329999999995</v>
      </c>
      <c r="V180" s="684">
        <v>105.87739999999985</v>
      </c>
      <c r="W180" s="684">
        <v>113.94020000000006</v>
      </c>
      <c r="X180" s="684">
        <v>456.59999999999991</v>
      </c>
      <c r="Y180" s="684">
        <v>454.10000000000014</v>
      </c>
      <c r="Z180" s="684">
        <v>467.70000000000005</v>
      </c>
    </row>
    <row r="191" spans="1:27" x14ac:dyDescent="0.15">
      <c r="A191" s="506" t="s">
        <v>461</v>
      </c>
    </row>
    <row r="192" spans="1:27" x14ac:dyDescent="0.15">
      <c r="A192" s="276" t="s">
        <v>462</v>
      </c>
      <c r="H192" s="426">
        <v>4.6547278935265966E-2</v>
      </c>
      <c r="I192" s="426">
        <v>1.7311405552965637E-3</v>
      </c>
      <c r="J192" s="426">
        <v>-1.7281488866732529E-3</v>
      </c>
      <c r="K192" s="426">
        <v>4.2612690591915994E-3</v>
      </c>
      <c r="L192" s="426">
        <v>1.2862162699728232E-2</v>
      </c>
      <c r="M192" s="426">
        <v>-3.272893892779996E-3</v>
      </c>
      <c r="N192" s="426">
        <v>-2.5809417482104125E-2</v>
      </c>
      <c r="O192" s="426">
        <v>1.1460159093972077E-3</v>
      </c>
      <c r="P192" s="426">
        <v>2.7405561915022591E-2</v>
      </c>
      <c r="Q192" s="426">
        <v>-2.4249573993970677E-3</v>
      </c>
      <c r="R192" s="426">
        <v>-1.3993824321660834E-2</v>
      </c>
      <c r="S192" s="426">
        <v>1.8989872068230277E-2</v>
      </c>
      <c r="T192" s="426">
        <v>1.0200745439089869E-2</v>
      </c>
      <c r="U192" s="426">
        <v>1.7735775778367442E-2</v>
      </c>
      <c r="V192" s="426">
        <v>-8.0773389302296293E-3</v>
      </c>
      <c r="W192" s="426">
        <v>1.4042062067196777E-2</v>
      </c>
      <c r="X192" s="426">
        <v>1.7767941827379011E-2</v>
      </c>
      <c r="Y192" s="426">
        <v>1.9756461232604487E-2</v>
      </c>
      <c r="Z192" s="426">
        <v>9.9305470939441663E-3</v>
      </c>
      <c r="AA192" s="426">
        <v>-1</v>
      </c>
    </row>
    <row r="193" spans="1:27" x14ac:dyDescent="0.15">
      <c r="A193" s="276" t="s">
        <v>463</v>
      </c>
      <c r="H193" s="426"/>
      <c r="I193" s="426">
        <v>-1.7041244751790509E-2</v>
      </c>
      <c r="J193" s="426">
        <v>-1.5075376884422682E-3</v>
      </c>
      <c r="K193" s="426">
        <v>-1.7614494212380189E-3</v>
      </c>
      <c r="L193" s="426">
        <v>2.1678850516763354E-2</v>
      </c>
      <c r="M193" s="426">
        <v>-8.6355785837651123E-3</v>
      </c>
      <c r="N193" s="426">
        <v>-2.7625684420109563E-2</v>
      </c>
      <c r="O193" s="426">
        <v>-4.3511645764013019E-3</v>
      </c>
      <c r="P193" s="426">
        <v>3.2133676092544985E-2</v>
      </c>
      <c r="Q193" s="426">
        <v>-2.0423412204234093E-2</v>
      </c>
      <c r="R193" s="426">
        <v>-2.5425883549459125E-4</v>
      </c>
      <c r="S193" s="426">
        <v>-5.0864699898270603E-3</v>
      </c>
      <c r="T193" s="426">
        <v>2.9652351738241368E-2</v>
      </c>
      <c r="U193" s="426">
        <v>-4.2204568023832883E-3</v>
      </c>
      <c r="V193" s="426">
        <v>-4.7120418848167624E-2</v>
      </c>
      <c r="W193" s="426">
        <v>8.3725798011512007E-3</v>
      </c>
      <c r="X193" s="426">
        <v>5.8640373637778992E-2</v>
      </c>
      <c r="Y193" s="426">
        <v>-1.7156862745097761E-3</v>
      </c>
      <c r="Z193" s="426">
        <v>1.890498404124721E-2</v>
      </c>
      <c r="AA193" s="426">
        <v>0.20481927710843373</v>
      </c>
    </row>
    <row r="194" spans="1:27" x14ac:dyDescent="0.15">
      <c r="A194" s="276"/>
      <c r="H194" s="426"/>
      <c r="I194" s="288"/>
      <c r="J194" s="288"/>
      <c r="K194" s="288"/>
      <c r="L194" s="288"/>
      <c r="M194" s="288"/>
      <c r="N194" s="288"/>
      <c r="O194" s="288"/>
      <c r="P194" s="426"/>
      <c r="Q194" s="288"/>
      <c r="R194" s="288"/>
      <c r="S194" s="288"/>
      <c r="T194" s="426"/>
      <c r="U194" s="288"/>
      <c r="V194" s="288"/>
      <c r="W194" s="288"/>
      <c r="X194" s="426"/>
      <c r="Y194" s="288"/>
      <c r="Z194" s="288"/>
      <c r="AA194" s="288"/>
    </row>
    <row r="195" spans="1:27" x14ac:dyDescent="0.15">
      <c r="A195" s="276"/>
      <c r="H195" s="426"/>
      <c r="I195" s="288"/>
      <c r="J195" s="288"/>
      <c r="K195" s="288"/>
      <c r="L195" s="288"/>
      <c r="M195" s="288"/>
      <c r="N195" s="288"/>
      <c r="O195" s="288"/>
      <c r="P195" s="426"/>
      <c r="Q195" s="288"/>
      <c r="R195" s="288"/>
      <c r="S195" s="288"/>
      <c r="T195" s="426"/>
      <c r="U195" s="288"/>
      <c r="V195" s="288"/>
      <c r="W195" s="288"/>
      <c r="X195" s="426"/>
      <c r="Y195" s="288"/>
      <c r="Z195" s="288"/>
      <c r="AA195" s="288"/>
    </row>
    <row r="196" spans="1:27" x14ac:dyDescent="0.15">
      <c r="A196" s="276"/>
      <c r="H196" s="426"/>
      <c r="I196" s="288"/>
      <c r="J196" s="288"/>
      <c r="K196" s="288"/>
      <c r="L196" s="288"/>
      <c r="M196" s="288"/>
      <c r="N196" s="288"/>
      <c r="O196" s="288"/>
      <c r="P196" s="426"/>
      <c r="Q196" s="288"/>
      <c r="R196" s="288"/>
      <c r="S196" s="288"/>
      <c r="T196" s="426"/>
      <c r="U196" s="288"/>
      <c r="V196" s="288"/>
      <c r="W196" s="288"/>
      <c r="X196" s="426"/>
      <c r="Y196" s="288"/>
      <c r="Z196" s="288"/>
      <c r="AA196" s="288"/>
    </row>
    <row r="197" spans="1:27" x14ac:dyDescent="0.15">
      <c r="A197" s="276" t="s">
        <v>464</v>
      </c>
      <c r="H197" s="429">
        <v>1.1316065883212569E-2</v>
      </c>
      <c r="I197" s="429">
        <v>1.1488314973600224E-2</v>
      </c>
      <c r="J197" s="429">
        <v>1.0783407153677043E-2</v>
      </c>
      <c r="K197" s="429">
        <v>1.1052944014318791E-2</v>
      </c>
      <c r="L197" s="429">
        <v>1.0875829630593616E-2</v>
      </c>
      <c r="M197" s="429">
        <v>9.8293935143277649E-3</v>
      </c>
      <c r="N197" s="429">
        <v>1.0506566604127581E-2</v>
      </c>
      <c r="O197" s="429">
        <v>1.1265386696024372E-2</v>
      </c>
      <c r="P197" s="429">
        <v>1.1005166631901545E-2</v>
      </c>
      <c r="Q197" s="429">
        <v>1.0801454506420491E-2</v>
      </c>
      <c r="R197" s="429">
        <v>1.0496734794329245E-2</v>
      </c>
      <c r="S197" s="429">
        <v>1.0561780085637089E-2</v>
      </c>
      <c r="T197" s="429">
        <v>1.0842181680579292E-2</v>
      </c>
      <c r="U197" s="429">
        <v>1.2334755103256686E-2</v>
      </c>
      <c r="V197" s="429">
        <v>1.1931248396651042E-2</v>
      </c>
      <c r="W197" s="429">
        <v>1.1996623376029171E-2</v>
      </c>
      <c r="X197" s="429">
        <v>1.1330612026749865E-2</v>
      </c>
      <c r="Y197" s="429">
        <v>1.1962735549438915E-2</v>
      </c>
      <c r="Z197" s="429">
        <v>1.2237424650267899E-2</v>
      </c>
      <c r="AA197" s="429" t="e">
        <v>#DIV/0!</v>
      </c>
    </row>
    <row r="198" spans="1:27" x14ac:dyDescent="0.15">
      <c r="A198" s="276" t="s">
        <v>465</v>
      </c>
    </row>
    <row r="199" spans="1:27" x14ac:dyDescent="0.15">
      <c r="A199" s="276" t="s">
        <v>466</v>
      </c>
    </row>
    <row r="200" spans="1:27" x14ac:dyDescent="0.15">
      <c r="A200" s="276" t="s">
        <v>467</v>
      </c>
    </row>
    <row r="201" spans="1:27" x14ac:dyDescent="0.15">
      <c r="A201" s="276" t="s">
        <v>468</v>
      </c>
    </row>
    <row r="202" spans="1:27" x14ac:dyDescent="0.15">
      <c r="A202" s="276" t="s">
        <v>469</v>
      </c>
    </row>
    <row r="203" spans="1:27" x14ac:dyDescent="0.15">
      <c r="A203" s="276" t="s">
        <v>470</v>
      </c>
    </row>
    <row r="204" spans="1:27" x14ac:dyDescent="0.15">
      <c r="A204" s="276" t="s">
        <v>471</v>
      </c>
    </row>
    <row r="206" spans="1:27" x14ac:dyDescent="0.15">
      <c r="A206" s="276" t="s">
        <v>472</v>
      </c>
    </row>
    <row r="207" spans="1:27" x14ac:dyDescent="0.15">
      <c r="A207" s="276" t="s">
        <v>473</v>
      </c>
    </row>
    <row r="208" spans="1:27" x14ac:dyDescent="0.15">
      <c r="A208" s="276" t="s">
        <v>474</v>
      </c>
    </row>
    <row r="209" spans="1:1" x14ac:dyDescent="0.15">
      <c r="A209" s="276" t="s">
        <v>475</v>
      </c>
    </row>
    <row r="210" spans="1:1" x14ac:dyDescent="0.15">
      <c r="A210" s="276" t="s">
        <v>476</v>
      </c>
    </row>
    <row r="211" spans="1:1" x14ac:dyDescent="0.15">
      <c r="A211" s="276" t="s">
        <v>477</v>
      </c>
    </row>
    <row r="213" spans="1:1" x14ac:dyDescent="0.15">
      <c r="A213" s="276" t="s">
        <v>478</v>
      </c>
    </row>
    <row r="214" spans="1:1" x14ac:dyDescent="0.15">
      <c r="A214" s="276" t="s">
        <v>479</v>
      </c>
    </row>
    <row r="215" spans="1:1" x14ac:dyDescent="0.15">
      <c r="A215" s="276" t="s">
        <v>480</v>
      </c>
    </row>
    <row r="216" spans="1:1" x14ac:dyDescent="0.15">
      <c r="A216" s="276" t="s">
        <v>481</v>
      </c>
    </row>
    <row r="217" spans="1:1" x14ac:dyDescent="0.15">
      <c r="A217" s="276" t="s">
        <v>482</v>
      </c>
    </row>
    <row r="218" spans="1:1" x14ac:dyDescent="0.15">
      <c r="A218" s="276" t="s">
        <v>483</v>
      </c>
    </row>
    <row r="220" spans="1:1" x14ac:dyDescent="0.15">
      <c r="A220" s="276" t="s">
        <v>484</v>
      </c>
    </row>
    <row r="221" spans="1:1" x14ac:dyDescent="0.15">
      <c r="A221" s="276" t="s">
        <v>485</v>
      </c>
    </row>
    <row r="223" spans="1:1" x14ac:dyDescent="0.15">
      <c r="A223" s="276" t="s">
        <v>486</v>
      </c>
    </row>
    <row r="224" spans="1:1" x14ac:dyDescent="0.15">
      <c r="A224" s="276" t="s">
        <v>487</v>
      </c>
    </row>
    <row r="226" spans="1:1" x14ac:dyDescent="0.15">
      <c r="A226" s="276" t="s">
        <v>488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B557-073F-41D0-AA02-9420A3E48ACE}">
  <dimension ref="A1:H12"/>
  <sheetViews>
    <sheetView workbookViewId="0">
      <selection activeCell="G14" sqref="G14"/>
    </sheetView>
  </sheetViews>
  <sheetFormatPr baseColWidth="10" defaultColWidth="9" defaultRowHeight="14" x14ac:dyDescent="0.15"/>
  <cols>
    <col min="2" max="2" width="14.19921875" customWidth="1"/>
    <col min="3" max="3" width="9.3984375" customWidth="1"/>
    <col min="4" max="4" width="14.796875" customWidth="1"/>
    <col min="8" max="8" width="12.796875" customWidth="1"/>
  </cols>
  <sheetData>
    <row r="1" spans="1:8" x14ac:dyDescent="0.15">
      <c r="A1" s="230" t="s">
        <v>299</v>
      </c>
      <c r="B1" s="230" t="s">
        <v>300</v>
      </c>
      <c r="C1" s="230" t="s">
        <v>243</v>
      </c>
      <c r="D1" s="230" t="s">
        <v>301</v>
      </c>
    </row>
    <row r="2" spans="1:8" x14ac:dyDescent="0.15">
      <c r="A2" t="s">
        <v>302</v>
      </c>
      <c r="B2" s="231">
        <v>0.7</v>
      </c>
      <c r="C2" s="235">
        <f>'Base Case'!O124</f>
        <v>9.5287702379068016</v>
      </c>
      <c r="D2" s="232">
        <f>C2*B2</f>
        <v>6.6701391665347609</v>
      </c>
    </row>
    <row r="3" spans="1:8" x14ac:dyDescent="0.15">
      <c r="A3" t="s">
        <v>303</v>
      </c>
      <c r="B3" s="233">
        <v>0.15</v>
      </c>
      <c r="C3" s="235">
        <f>'Bull Case'!O124</f>
        <v>11.653061086098219</v>
      </c>
      <c r="D3" s="232">
        <f>C3*B3</f>
        <v>1.7479591629147329</v>
      </c>
    </row>
    <row r="4" spans="1:8" x14ac:dyDescent="0.15">
      <c r="A4" t="s">
        <v>304</v>
      </c>
      <c r="B4" s="233">
        <v>0.15</v>
      </c>
      <c r="C4" s="235">
        <f>'Bear Case'!O124</f>
        <v>6.6780687026711583</v>
      </c>
      <c r="D4" s="236">
        <f>C4*B4</f>
        <v>1.0017103054006737</v>
      </c>
      <c r="F4" t="s">
        <v>305</v>
      </c>
      <c r="H4" s="230" t="s">
        <v>306</v>
      </c>
    </row>
    <row r="5" spans="1:8" x14ac:dyDescent="0.15">
      <c r="A5" s="717" t="s">
        <v>307</v>
      </c>
      <c r="B5" s="717"/>
      <c r="C5" s="717"/>
      <c r="D5" s="718">
        <f>SUM(D2:D4)</f>
        <v>9.4198086348501668</v>
      </c>
      <c r="F5" s="234">
        <v>5.5</v>
      </c>
      <c r="H5" s="235">
        <f>D5*F5</f>
        <v>51.808947491675916</v>
      </c>
    </row>
    <row r="8" spans="1:8" x14ac:dyDescent="0.15">
      <c r="A8" s="230" t="s">
        <v>299</v>
      </c>
      <c r="B8" s="230" t="s">
        <v>300</v>
      </c>
      <c r="C8" s="230" t="s">
        <v>308</v>
      </c>
      <c r="D8" s="230" t="s">
        <v>309</v>
      </c>
    </row>
    <row r="9" spans="1:8" x14ac:dyDescent="0.15">
      <c r="A9" t="s">
        <v>302</v>
      </c>
      <c r="B9" s="231">
        <f>B2</f>
        <v>0.7</v>
      </c>
      <c r="C9" s="235">
        <f>'Base Case'!O219</f>
        <v>63.579243056662989</v>
      </c>
      <c r="D9" s="236">
        <f>C9*B9</f>
        <v>44.505470139664091</v>
      </c>
    </row>
    <row r="10" spans="1:8" x14ac:dyDescent="0.15">
      <c r="A10" t="s">
        <v>303</v>
      </c>
      <c r="B10" s="233">
        <f>B3</f>
        <v>0.15</v>
      </c>
      <c r="C10" s="235">
        <f>'Bull Case'!O219</f>
        <v>74.48</v>
      </c>
      <c r="D10" s="235">
        <f>B10*C10</f>
        <v>11.172000000000001</v>
      </c>
    </row>
    <row r="11" spans="1:8" x14ac:dyDescent="0.15">
      <c r="A11" t="s">
        <v>304</v>
      </c>
      <c r="B11" s="233">
        <f>B4</f>
        <v>0.15</v>
      </c>
      <c r="C11" s="235">
        <f>'Bear Case'!O219</f>
        <v>49.41</v>
      </c>
      <c r="D11" s="235">
        <f>B11*C11</f>
        <v>7.4114999999999993</v>
      </c>
      <c r="F11" t="s">
        <v>305</v>
      </c>
      <c r="H11" s="230" t="s">
        <v>306</v>
      </c>
    </row>
    <row r="12" spans="1:8" x14ac:dyDescent="0.15">
      <c r="A12" s="717" t="s">
        <v>307</v>
      </c>
      <c r="B12" s="719"/>
      <c r="C12" s="719"/>
      <c r="D12" s="720">
        <f>SUM(D9:D11)</f>
        <v>63.088970139664092</v>
      </c>
      <c r="F12" s="234">
        <v>0.87</v>
      </c>
      <c r="H12" s="235">
        <f>D12*F12</f>
        <v>54.887404021507763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3153-861D-4004-BFCA-B24209660527}">
  <dimension ref="C1:J18"/>
  <sheetViews>
    <sheetView showGridLines="0" workbookViewId="0">
      <selection activeCell="M11" sqref="M11"/>
    </sheetView>
  </sheetViews>
  <sheetFormatPr baseColWidth="10" defaultColWidth="9" defaultRowHeight="14" x14ac:dyDescent="0.15"/>
  <cols>
    <col min="1" max="2" width="9" style="239"/>
    <col min="3" max="3" width="17.19921875" style="239" customWidth="1"/>
    <col min="4" max="4" width="11.3984375" style="239" customWidth="1"/>
    <col min="5" max="5" width="14.59765625" style="239" customWidth="1"/>
    <col min="6" max="8" width="7.19921875" style="239" customWidth="1"/>
    <col min="9" max="9" width="21.19921875" style="239" customWidth="1"/>
    <col min="10" max="10" width="8" style="239" customWidth="1"/>
    <col min="11" max="16384" width="9" style="239"/>
  </cols>
  <sheetData>
    <row r="1" spans="3:10" ht="41" customHeight="1" x14ac:dyDescent="0.15">
      <c r="C1" s="237" t="s">
        <v>258</v>
      </c>
      <c r="D1" s="238" t="s">
        <v>310</v>
      </c>
    </row>
    <row r="2" spans="3:10" s="745" customFormat="1" ht="41" customHeight="1" x14ac:dyDescent="0.15">
      <c r="C2" s="746"/>
      <c r="D2" s="747"/>
    </row>
    <row r="3" spans="3:10" s="745" customFormat="1" ht="41" customHeight="1" x14ac:dyDescent="0.15">
      <c r="C3" s="746"/>
      <c r="D3" s="747"/>
    </row>
    <row r="4" spans="3:10" s="745" customFormat="1" ht="41" customHeight="1" x14ac:dyDescent="0.15">
      <c r="C4" s="746"/>
      <c r="D4" s="747"/>
    </row>
    <row r="5" spans="3:10" x14ac:dyDescent="0.15">
      <c r="C5" s="240" t="s">
        <v>311</v>
      </c>
      <c r="D5" s="241" t="str" cm="1">
        <f t="array" ref="D5">_xll.FDS(D6,"FG_COMPANY_NAME")</f>
        <v>Unum Group</v>
      </c>
      <c r="E5" s="242"/>
      <c r="F5" s="243" t="s">
        <v>312</v>
      </c>
      <c r="G5" s="243" t="s">
        <v>313</v>
      </c>
      <c r="H5" s="243" t="s">
        <v>314</v>
      </c>
      <c r="I5" s="240"/>
      <c r="J5" s="240"/>
    </row>
    <row r="6" spans="3:10" x14ac:dyDescent="0.15">
      <c r="C6" s="240" t="s">
        <v>315</v>
      </c>
      <c r="D6" s="244" t="str">
        <f>C1</f>
        <v>UNM</v>
      </c>
      <c r="E6" s="240" t="s">
        <v>316</v>
      </c>
      <c r="F6" s="245">
        <f>'Base Case'!M49</f>
        <v>12446.339101255875</v>
      </c>
      <c r="G6" s="245">
        <f>'Base Case'!N49</f>
        <v>13409.097026496504</v>
      </c>
      <c r="H6" s="245">
        <f>'Base Case'!O49</f>
        <v>13760.443381180337</v>
      </c>
      <c r="I6" s="240" t="s">
        <v>317</v>
      </c>
      <c r="J6" s="246" cm="1">
        <f t="array" ref="J6">_xll.FDS(D6,"FF_ROA(ANN_R,0)")/100</f>
        <v>2.3801330788149701E-2</v>
      </c>
    </row>
    <row r="7" spans="3:10" x14ac:dyDescent="0.15">
      <c r="C7" s="240" t="s">
        <v>318</v>
      </c>
      <c r="D7" s="247" cm="1">
        <f t="array" ref="D7">_xll.FDS(D6,"P_PRICE(0)")</f>
        <v>43.17</v>
      </c>
      <c r="E7" s="240" t="s">
        <v>319</v>
      </c>
      <c r="F7" s="703" cm="1">
        <f t="array" ref="F7">_xll.FDS(D6,"FE_ESTIMATE(SALES,MEAN,ANN_ROLL,+1,NOW,,,'')")</f>
        <v>12400.306</v>
      </c>
      <c r="G7" s="703" cm="1">
        <f t="array" ref="G7">_xll.FDS(D6,"FE_ESTIMATE(SALES,MEAN,ANN_ROLL,+2,NOW,,,'')")</f>
        <v>12847.194</v>
      </c>
      <c r="H7" s="703">
        <v>13266</v>
      </c>
      <c r="I7" s="240" t="s">
        <v>321</v>
      </c>
      <c r="J7" s="248" cm="1">
        <f t="array" ref="J7">_xll.FDS(D6,"FF_ROE(ANN_R,0)")/100</f>
        <v>0.12750619727465401</v>
      </c>
    </row>
    <row r="8" spans="3:10" x14ac:dyDescent="0.15">
      <c r="C8" s="240" t="s">
        <v>322</v>
      </c>
      <c r="D8" s="705">
        <f ca="1">'How Do You Differ'!D27</f>
        <v>52.106921898505163</v>
      </c>
      <c r="E8" s="240" t="s">
        <v>323</v>
      </c>
      <c r="F8" s="706">
        <f>F6/F7-1</f>
        <v>3.7122552665938002E-3</v>
      </c>
      <c r="G8" s="706">
        <f t="shared" ref="G8:H8" si="0">G6/G7-1</f>
        <v>4.3737412737482106E-2</v>
      </c>
      <c r="H8" s="706">
        <f t="shared" si="0"/>
        <v>3.7271474534926741E-2</v>
      </c>
      <c r="I8" s="240" t="s">
        <v>324</v>
      </c>
      <c r="J8" s="246" cm="1">
        <f t="array" ref="J8">_xll.FDS(D6,"FF_ROIC(ANN_R,0)")/100</f>
        <v>9.5253971935521306E-2</v>
      </c>
    </row>
    <row r="9" spans="3:10" x14ac:dyDescent="0.15">
      <c r="C9" s="240" t="s">
        <v>325</v>
      </c>
      <c r="D9" s="248">
        <f ca="1">D8/D7-1</f>
        <v>0.20701695386854668</v>
      </c>
      <c r="E9" s="240" t="s">
        <v>326</v>
      </c>
      <c r="F9" s="706"/>
      <c r="G9" s="706">
        <f>G6/F6-1</f>
        <v>7.7352699248205647E-2</v>
      </c>
      <c r="H9" s="706">
        <f>H6/G6-1</f>
        <v>2.6202089073527501E-2</v>
      </c>
      <c r="I9" s="240" t="s">
        <v>327</v>
      </c>
      <c r="J9" s="246">
        <f>('Base Case'!O37-'Base Case'!M37)/'Base Case'!L37</f>
        <v>0.10959088315607225</v>
      </c>
    </row>
    <row r="10" spans="3:10" x14ac:dyDescent="0.15">
      <c r="C10" s="240" t="s">
        <v>328</v>
      </c>
      <c r="D10" s="249" cm="1">
        <f t="array" ref="D10">_xll.FDS(D6,"FF_PRICE_LOW_52WK")</f>
        <v>36.270000000000003</v>
      </c>
      <c r="E10" s="240" t="s">
        <v>329</v>
      </c>
      <c r="F10" s="245">
        <f>'Base Case'!M94</f>
        <v>2079.3258696491248</v>
      </c>
      <c r="G10" s="245">
        <f>'Base Case'!N94</f>
        <v>2222.2102755670821</v>
      </c>
      <c r="H10" s="245">
        <f>'Base Case'!O94</f>
        <v>2416.077879758448</v>
      </c>
      <c r="I10" s="240" t="s">
        <v>330</v>
      </c>
      <c r="J10" s="246">
        <f>('Base Case'!O124-'Base Case'!L124)/'Base Case'!L124</f>
        <v>0.53442354877726272</v>
      </c>
    </row>
    <row r="11" spans="3:10" x14ac:dyDescent="0.15">
      <c r="C11" s="240" t="s">
        <v>331</v>
      </c>
      <c r="D11" s="249" cm="1">
        <f t="array" ref="D11">_xll.FDS(D6,"FF_PRICE_HIGH_52WK")</f>
        <v>52.15</v>
      </c>
      <c r="E11" s="240" t="s">
        <v>332</v>
      </c>
      <c r="F11" s="703">
        <f>'Base Case'!X95</f>
        <v>1779.7343000000001</v>
      </c>
      <c r="G11" s="703">
        <f>'Base Case'!Y95</f>
        <v>1892.9899</v>
      </c>
      <c r="H11" s="703">
        <f>'Base Case'!Z95</f>
        <v>1931.6980000000001</v>
      </c>
      <c r="I11" s="240" t="s">
        <v>333</v>
      </c>
      <c r="J11" s="246" cm="1">
        <f t="array" ref="J11">_xll.FDS(D6,"FF_INSID_PCT_CURR")</f>
        <v>7.9139999999999992E-3</v>
      </c>
    </row>
    <row r="12" spans="3:10" x14ac:dyDescent="0.15">
      <c r="C12" s="240" t="s">
        <v>334</v>
      </c>
      <c r="D12" s="250" cm="1">
        <f t="array" ref="D12">_xll.FDS(D6,"FREF_MARKET_VALUE_COMPANY(0,,,,,0,,""LEGACY"")")</f>
        <v>8420.1198801349401</v>
      </c>
      <c r="E12" s="240" t="s">
        <v>323</v>
      </c>
      <c r="F12" s="706">
        <f>F10/F11-1</f>
        <v>0.16833499789778994</v>
      </c>
      <c r="G12" s="706">
        <f t="shared" ref="G12:H12" si="1">G10/G11-1</f>
        <v>0.17391554786799546</v>
      </c>
      <c r="H12" s="706">
        <f t="shared" si="1"/>
        <v>0.25075341992301481</v>
      </c>
      <c r="I12" s="240" t="s">
        <v>335</v>
      </c>
      <c r="J12" s="246" cm="1">
        <f t="array" ref="J12">_xll.FDS(D6,"OS_SEC_SI_PCTFLT(0D)")/100</f>
        <v>1.3535299926364599E-2</v>
      </c>
    </row>
    <row r="13" spans="3:10" x14ac:dyDescent="0.15">
      <c r="C13" s="240" t="s">
        <v>336</v>
      </c>
      <c r="D13" s="250" cm="1">
        <f t="array" ref="D13">_xll.FDS(D6,"FF_ENTRPR_VAL_DAILY(0,,,,,""DIL"")")</f>
        <v>11776.079806</v>
      </c>
      <c r="E13" s="240" t="s">
        <v>326</v>
      </c>
      <c r="F13" s="706"/>
      <c r="G13" s="706">
        <f>G10/F10-1</f>
        <v>6.8716697081284472E-2</v>
      </c>
      <c r="H13" s="706">
        <f>H10/G10-1</f>
        <v>8.7240890892691603E-2</v>
      </c>
      <c r="I13" s="240" t="s">
        <v>337</v>
      </c>
      <c r="J13" s="244" t="s">
        <v>320</v>
      </c>
    </row>
    <row r="14" spans="3:10" x14ac:dyDescent="0.15">
      <c r="C14" s="240" t="s">
        <v>338</v>
      </c>
      <c r="D14" s="248" cm="1">
        <f t="array" ref="D14">_xll.FDS(D6,"P_DIV_YLD")/100</f>
        <v>3.3819782999999999E-2</v>
      </c>
      <c r="E14" s="240" t="s">
        <v>339</v>
      </c>
      <c r="F14" s="251">
        <f>'Base Case'!M124</f>
        <v>7.788942830247203</v>
      </c>
      <c r="G14" s="251">
        <f>'Base Case'!N124</f>
        <v>8.6955429006497127</v>
      </c>
      <c r="H14" s="251">
        <f>'Base Case'!O124</f>
        <v>9.5287702379068016</v>
      </c>
      <c r="J14" s="240"/>
    </row>
    <row r="15" spans="3:10" x14ac:dyDescent="0.15">
      <c r="C15" s="240" t="s">
        <v>341</v>
      </c>
      <c r="D15" s="704">
        <f>'Base Case'!C311</f>
        <v>0.75700000000000001</v>
      </c>
      <c r="E15" s="240" t="s">
        <v>342</v>
      </c>
      <c r="F15" s="251">
        <v>7.7619999999999996</v>
      </c>
      <c r="G15" s="251">
        <v>7.83</v>
      </c>
      <c r="H15" s="251">
        <v>8.5299999999999994</v>
      </c>
      <c r="I15" s="240" t="s">
        <v>340</v>
      </c>
      <c r="J15" s="251"/>
    </row>
    <row r="16" spans="3:10" x14ac:dyDescent="0.15">
      <c r="C16" s="240" t="s">
        <v>343</v>
      </c>
      <c r="D16" s="702">
        <f>'Base Case'!C319</f>
        <v>7.7908900472799428E-2</v>
      </c>
      <c r="E16" s="240" t="s">
        <v>323</v>
      </c>
      <c r="F16" s="246">
        <f>F14/F15-1</f>
        <v>3.4711195886631963E-3</v>
      </c>
      <c r="G16" s="246">
        <f t="shared" ref="G16:H16" si="2">G14/G15-1</f>
        <v>0.11054187747761346</v>
      </c>
      <c r="H16" s="246">
        <f t="shared" si="2"/>
        <v>0.11708912519423231</v>
      </c>
      <c r="I16" s="240" t="s">
        <v>273</v>
      </c>
      <c r="J16" s="246">
        <f>'Base Case'!N78</f>
        <v>0.6883242071947222</v>
      </c>
    </row>
    <row r="17" spans="3:10" x14ac:dyDescent="0.15">
      <c r="C17" s="240" t="s">
        <v>344</v>
      </c>
      <c r="D17" s="248" t="s">
        <v>345</v>
      </c>
      <c r="E17" s="240" t="s">
        <v>326</v>
      </c>
      <c r="F17" s="246"/>
      <c r="G17" s="246">
        <f>G14/F14-1</f>
        <v>0.11639577926825484</v>
      </c>
      <c r="H17" s="246">
        <f>H14/G14-1</f>
        <v>9.5822347928940843E-2</v>
      </c>
      <c r="I17" s="240" t="s">
        <v>346</v>
      </c>
      <c r="J17" s="246">
        <f>'Base Case'!N80</f>
        <v>1.0261037220659326</v>
      </c>
    </row>
    <row r="18" spans="3:10" x14ac:dyDescent="0.15">
      <c r="C18" s="240"/>
      <c r="D18" s="240"/>
      <c r="E18" s="240"/>
      <c r="F18" s="240"/>
      <c r="G18" s="240"/>
      <c r="H18" s="240"/>
      <c r="I18" s="240"/>
      <c r="J18" s="24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EF50-DA95-4FA7-A24D-8052A2E9E7D3}">
  <dimension ref="B2:I31"/>
  <sheetViews>
    <sheetView showGridLines="0" tabSelected="1" zoomScale="85" zoomScaleNormal="85" workbookViewId="0">
      <selection activeCell="Q23" sqref="Q23"/>
    </sheetView>
  </sheetViews>
  <sheetFormatPr baseColWidth="10" defaultColWidth="9" defaultRowHeight="14" outlineLevelCol="1" x14ac:dyDescent="0.15"/>
  <cols>
    <col min="2" max="2" width="73.796875" style="437" customWidth="1"/>
    <col min="3" max="3" width="10.19921875" hidden="1" customWidth="1" outlineLevel="1"/>
    <col min="4" max="4" width="13.19921875" bestFit="1" customWidth="1" collapsed="1"/>
    <col min="5" max="5" width="13.19921875" customWidth="1"/>
    <col min="6" max="6" width="13.19921875" bestFit="1" customWidth="1"/>
    <col min="7" max="7" width="11.3984375" style="440" customWidth="1"/>
    <col min="8" max="8" width="34.3984375" style="441" customWidth="1"/>
  </cols>
  <sheetData>
    <row r="2" spans="2:9" x14ac:dyDescent="0.15">
      <c r="C2" s="438" t="s">
        <v>544</v>
      </c>
      <c r="D2" s="439" t="s">
        <v>258</v>
      </c>
      <c r="E2" t="str" cm="1">
        <f t="array" ref="E2">_xll.FDS(D2,"FG_COMPANY_NAME")</f>
        <v>Unum Group</v>
      </c>
    </row>
    <row r="3" spans="2:9" x14ac:dyDescent="0.15">
      <c r="C3" s="438" t="s">
        <v>546</v>
      </c>
      <c r="D3" s="439" t="s">
        <v>547</v>
      </c>
      <c r="E3" t="str" cm="1">
        <f t="array" ref="E3">_xll.FDS(D3,"FG_NAME_IDX")</f>
        <v>S&amp;P 500</v>
      </c>
      <c r="I3" s="439"/>
    </row>
    <row r="4" spans="2:9" ht="17" x14ac:dyDescent="0.2">
      <c r="B4" s="442" t="s">
        <v>548</v>
      </c>
      <c r="C4" s="443"/>
      <c r="D4" s="443"/>
    </row>
    <row r="5" spans="2:9" s="239" customFormat="1" ht="60" x14ac:dyDescent="0.15">
      <c r="B5" s="444" t="s">
        <v>605</v>
      </c>
      <c r="C5" s="445" t="s">
        <v>545</v>
      </c>
      <c r="D5" s="446" t="str">
        <f>$D$2&amp;" Base-Case Scenario"</f>
        <v>UNM Base-Case Scenario</v>
      </c>
      <c r="E5" s="447" t="str">
        <f>$D$2&amp;" Upside-Case Scenario"</f>
        <v>UNM Upside-Case Scenario</v>
      </c>
      <c r="F5" s="448" t="str">
        <f>$D$2&amp;" Downside-Case Scenario"</f>
        <v>UNM Downside-Case Scenario</v>
      </c>
      <c r="G5" s="449" t="s">
        <v>549</v>
      </c>
      <c r="H5" s="450" t="s">
        <v>550</v>
      </c>
    </row>
    <row r="6" spans="2:9" ht="15" x14ac:dyDescent="0.15">
      <c r="B6" s="451" t="s">
        <v>551</v>
      </c>
      <c r="C6" s="235"/>
      <c r="D6" s="452"/>
      <c r="E6" s="453"/>
      <c r="F6" s="454"/>
    </row>
    <row r="7" spans="2:9" x14ac:dyDescent="0.15">
      <c r="B7" s="455" t="s">
        <v>552</v>
      </c>
      <c r="C7" s="235" cm="1">
        <f t="array" ref="C7">_xll.FDS(C5,"P_PRICE(0)")</f>
        <v>87.41</v>
      </c>
      <c r="D7" s="452" cm="1">
        <f t="array" ref="D7">_xll.FDS($D$2,"P_PRICE(0)")</f>
        <v>43.17</v>
      </c>
      <c r="E7" s="453" cm="1">
        <f t="array" ref="E7">_xll.FDS($D$2,"P_PRICE(0)")</f>
        <v>43.17</v>
      </c>
      <c r="F7" s="454" cm="1">
        <f t="array" ref="F7">_xll.FDS($D$2,"P_PRICE(0)")</f>
        <v>43.17</v>
      </c>
      <c r="G7" s="440" t="s">
        <v>553</v>
      </c>
      <c r="H7" s="441" t="s">
        <v>554</v>
      </c>
    </row>
    <row r="8" spans="2:9" x14ac:dyDescent="0.15">
      <c r="B8" s="455" t="s">
        <v>555</v>
      </c>
      <c r="C8" s="235" cm="1">
        <f t="array" ref="C8">_xll.FDS(C5&amp;"-US","FE_ESTIMATE(EPS,MEAN,NTMA,,NOW,,,'')")</f>
        <v>6.7611356000000002</v>
      </c>
      <c r="D8" s="452" cm="1">
        <f t="array" ref="D8">_xll.FDS($D$2,"FE_ESTIMATE(EPS,MEAN,NTMA,,NOW,,,'')")</f>
        <v>7.8180455999999996</v>
      </c>
      <c r="E8" s="453" cm="1">
        <f t="array" ref="E8">_xll.FDS($D$2,"FE_ESTIMATE(EPS,MEAN,NTMA,,NOW,,,'')")</f>
        <v>7.8180455999999996</v>
      </c>
      <c r="F8" s="454" cm="1">
        <f t="array" ref="F8">_xll.FDS($D$2,"FE_ESTIMATE(EPS,MEAN,NTMA,,NOW,,,'')")</f>
        <v>7.8180455999999996</v>
      </c>
      <c r="G8" s="440" t="s">
        <v>556</v>
      </c>
      <c r="H8" s="441" t="s">
        <v>554</v>
      </c>
    </row>
    <row r="9" spans="2:9" x14ac:dyDescent="0.15">
      <c r="B9" s="455" t="s">
        <v>557</v>
      </c>
      <c r="C9" s="234">
        <f>C7/C8</f>
        <v>12.928301571114769</v>
      </c>
      <c r="D9" s="456">
        <f>D7/D8</f>
        <v>5.5218403944842693</v>
      </c>
      <c r="E9" s="457">
        <f t="shared" ref="E9:F9" si="0">E7/E8</f>
        <v>5.5218403944842693</v>
      </c>
      <c r="F9" s="458">
        <f t="shared" si="0"/>
        <v>5.5218403944842693</v>
      </c>
      <c r="G9" s="440" t="s">
        <v>558</v>
      </c>
      <c r="H9" s="441" t="s">
        <v>559</v>
      </c>
    </row>
    <row r="10" spans="2:9" x14ac:dyDescent="0.15">
      <c r="B10" s="455" t="s">
        <v>560</v>
      </c>
      <c r="C10" s="459" cm="1">
        <f t="array" ref="C10">_xll.FDS($D$3,"FG_PE_NTM(0,,,90,0)")</f>
        <v>18.8519610623344</v>
      </c>
      <c r="D10" s="460" cm="1">
        <f t="array" ref="D10">_xll.FDS($D$3,"FG_PE_NTM(0,,,90,0)")</f>
        <v>18.8519610623344</v>
      </c>
      <c r="E10" s="461" cm="1">
        <f t="array" ref="E10">_xll.FDS($D$3,"FG_PE_NTM(0,,,90,0)")</f>
        <v>18.8519610623344</v>
      </c>
      <c r="F10" s="462" cm="1">
        <f t="array" ref="F10">_xll.FDS($D$3,"FG_PE_NTM(0,,,90,0)")</f>
        <v>18.8519610623344</v>
      </c>
      <c r="G10" s="440" t="s">
        <v>561</v>
      </c>
      <c r="H10" s="441" t="s">
        <v>554</v>
      </c>
    </row>
    <row r="11" spans="2:9" ht="28" x14ac:dyDescent="0.15">
      <c r="B11" s="455" t="s">
        <v>562</v>
      </c>
      <c r="C11" s="463">
        <f>C9/C10-1</f>
        <v>-0.31421980300261221</v>
      </c>
      <c r="D11" s="464">
        <f t="shared" ref="D11:F11" si="1">D9/D10-1</f>
        <v>-0.70709464250291054</v>
      </c>
      <c r="E11" s="465">
        <f t="shared" si="1"/>
        <v>-0.70709464250291054</v>
      </c>
      <c r="F11" s="466">
        <f t="shared" si="1"/>
        <v>-0.70709464250291054</v>
      </c>
      <c r="G11" s="440" t="s">
        <v>563</v>
      </c>
      <c r="H11" s="441" t="s">
        <v>559</v>
      </c>
    </row>
    <row r="12" spans="2:9" x14ac:dyDescent="0.15">
      <c r="C12" s="463"/>
      <c r="D12" s="464"/>
      <c r="E12" s="465"/>
      <c r="F12" s="466"/>
    </row>
    <row r="13" spans="2:9" ht="15" x14ac:dyDescent="0.15">
      <c r="B13" s="451" t="s">
        <v>564</v>
      </c>
      <c r="D13" s="467"/>
      <c r="E13" s="468"/>
      <c r="F13" s="469"/>
    </row>
    <row r="14" spans="2:9" x14ac:dyDescent="0.15">
      <c r="B14" s="455" t="s">
        <v>565</v>
      </c>
      <c r="C14" s="235" cm="1">
        <f t="array" ref="C14">_xll.FDS($C$5,"FE_ESTIMATE(EPS,MEAN,STMA,,NOW,,,'')")</f>
        <v>5.6136290000000004</v>
      </c>
      <c r="D14" s="452" cm="1">
        <f t="array" ref="D14">_xll.FDS($D$2,"FE_ESTIMATE(EPS,MEAN,STMA,,NOW,,,'')")</f>
        <v>8.4751110000000001</v>
      </c>
      <c r="E14" s="453" cm="1">
        <f t="array" ref="E14">_xll.FDS($D$2,"FE_ESTIMATE(EPS,MEAN,STMA,,NOW,,,'')")</f>
        <v>8.4751110000000001</v>
      </c>
      <c r="F14" s="454" cm="1">
        <f t="array" ref="F14">_xll.FDS($D$2,"FE_ESTIMATE(EPS,MEAN,STMA,,NOW,,,'')")</f>
        <v>8.4751110000000001</v>
      </c>
      <c r="G14" s="440" t="s">
        <v>566</v>
      </c>
      <c r="H14" s="441" t="s">
        <v>554</v>
      </c>
    </row>
    <row r="15" spans="2:9" x14ac:dyDescent="0.15">
      <c r="B15" s="455" t="s">
        <v>567</v>
      </c>
      <c r="C15" s="463">
        <f>C14/C8-1</f>
        <v>-0.16972098592431717</v>
      </c>
      <c r="D15" s="464">
        <f>D14/D8-1</f>
        <v>8.4044713169746821E-2</v>
      </c>
      <c r="E15" s="465">
        <f t="shared" ref="E15:F15" si="2">E14/E8-1</f>
        <v>8.4044713169746821E-2</v>
      </c>
      <c r="F15" s="466">
        <f t="shared" si="2"/>
        <v>8.4044713169746821E-2</v>
      </c>
      <c r="H15" s="441" t="s">
        <v>559</v>
      </c>
    </row>
    <row r="16" spans="2:9" x14ac:dyDescent="0.15">
      <c r="C16" s="463"/>
      <c r="D16" s="464"/>
      <c r="E16" s="465"/>
      <c r="F16" s="466"/>
    </row>
    <row r="17" spans="2:8" ht="15" x14ac:dyDescent="0.15">
      <c r="B17" s="451" t="s">
        <v>568</v>
      </c>
      <c r="C17" s="470"/>
      <c r="D17" s="471"/>
      <c r="E17" s="472"/>
      <c r="F17" s="473"/>
    </row>
    <row r="18" spans="2:8" x14ac:dyDescent="0.15">
      <c r="B18" s="455" t="s">
        <v>569</v>
      </c>
      <c r="C18" s="474">
        <f>C14*1.1</f>
        <v>6.1749919000000011</v>
      </c>
      <c r="D18" s="474">
        <f ca="1">'Base Case'!N127</f>
        <v>9.5310530525294244</v>
      </c>
      <c r="E18" s="474">
        <f ca="1">'Bull Case'!N127</f>
        <v>11.654854061007955</v>
      </c>
      <c r="F18" s="474">
        <f ca="1">'Bear Case'!N127</f>
        <v>6.6777147420721752</v>
      </c>
      <c r="G18" s="440" t="s">
        <v>570</v>
      </c>
      <c r="H18" s="441" t="s">
        <v>571</v>
      </c>
    </row>
    <row r="19" spans="2:8" ht="28" x14ac:dyDescent="0.15">
      <c r="B19" s="455" t="s">
        <v>572</v>
      </c>
      <c r="C19" s="463">
        <f>C18/C14-1</f>
        <v>0.10000000000000009</v>
      </c>
      <c r="D19" s="464">
        <f t="shared" ref="D19:F19" ca="1" si="3">D18/D14-1</f>
        <v>0.12459330061039009</v>
      </c>
      <c r="E19" s="465">
        <f t="shared" ca="1" si="3"/>
        <v>0.37518600771222399</v>
      </c>
      <c r="F19" s="466">
        <f t="shared" ca="1" si="3"/>
        <v>-0.21207937665097543</v>
      </c>
      <c r="G19" s="440" t="s">
        <v>573</v>
      </c>
      <c r="H19" s="441" t="s">
        <v>559</v>
      </c>
    </row>
    <row r="20" spans="2:8" x14ac:dyDescent="0.15">
      <c r="C20" s="463"/>
      <c r="D20" s="464"/>
      <c r="E20" s="465"/>
      <c r="F20" s="466"/>
    </row>
    <row r="21" spans="2:8" ht="30" x14ac:dyDescent="0.15">
      <c r="B21" s="451" t="s">
        <v>574</v>
      </c>
      <c r="D21" s="467"/>
      <c r="E21" s="468"/>
      <c r="F21" s="469"/>
    </row>
    <row r="22" spans="2:8" x14ac:dyDescent="0.15">
      <c r="B22" s="455" t="s">
        <v>575</v>
      </c>
      <c r="C22" s="475">
        <f>C10</f>
        <v>18.8519610623344</v>
      </c>
      <c r="D22" s="475">
        <f t="shared" ref="D22:F22" si="4">D10</f>
        <v>18.8519610623344</v>
      </c>
      <c r="E22" s="475">
        <f>E10</f>
        <v>18.8519610623344</v>
      </c>
      <c r="F22" s="475">
        <f t="shared" si="4"/>
        <v>18.8519610623344</v>
      </c>
      <c r="G22" s="440" t="s">
        <v>576</v>
      </c>
      <c r="H22" s="441" t="s">
        <v>577</v>
      </c>
    </row>
    <row r="23" spans="2:8" x14ac:dyDescent="0.15">
      <c r="B23" s="455" t="s">
        <v>578</v>
      </c>
      <c r="C23" s="476">
        <f>C11</f>
        <v>-0.31421980300261221</v>
      </c>
      <c r="D23" s="476">
        <v>-0.71</v>
      </c>
      <c r="E23" s="476">
        <v>-0.71</v>
      </c>
      <c r="F23" s="476">
        <v>-0.71</v>
      </c>
      <c r="G23" s="440" t="s">
        <v>579</v>
      </c>
      <c r="H23" s="441" t="s">
        <v>580</v>
      </c>
    </row>
    <row r="24" spans="2:8" x14ac:dyDescent="0.15">
      <c r="B24" s="455" t="s">
        <v>581</v>
      </c>
      <c r="C24" s="459">
        <f>C22*(1+C23)</f>
        <v>12.928301571114769</v>
      </c>
      <c r="D24" s="460">
        <f t="shared" ref="D24:F24" si="5">D22*(1+D23)</f>
        <v>5.4670687080769769</v>
      </c>
      <c r="E24" s="461">
        <f t="shared" si="5"/>
        <v>5.4670687080769769</v>
      </c>
      <c r="F24" s="462">
        <f t="shared" si="5"/>
        <v>5.4670687080769769</v>
      </c>
      <c r="G24" s="440" t="s">
        <v>582</v>
      </c>
      <c r="H24" s="441" t="s">
        <v>559</v>
      </c>
    </row>
    <row r="25" spans="2:8" ht="28" x14ac:dyDescent="0.15">
      <c r="B25" s="455" t="s">
        <v>583</v>
      </c>
      <c r="C25" s="231">
        <f>((C24/C9)-1)</f>
        <v>0</v>
      </c>
      <c r="D25" s="477">
        <f t="shared" ref="D25:F25" si="6">((D24/D9)-1)</f>
        <v>-9.919099882351512E-3</v>
      </c>
      <c r="E25" s="478">
        <f t="shared" si="6"/>
        <v>-9.919099882351512E-3</v>
      </c>
      <c r="F25" s="479">
        <f t="shared" si="6"/>
        <v>-9.919099882351512E-3</v>
      </c>
      <c r="G25" s="440" t="s">
        <v>584</v>
      </c>
      <c r="H25" s="441" t="s">
        <v>559</v>
      </c>
    </row>
    <row r="26" spans="2:8" x14ac:dyDescent="0.15">
      <c r="C26" s="231"/>
      <c r="D26" s="477"/>
      <c r="E26" s="478"/>
      <c r="F26" s="479"/>
    </row>
    <row r="27" spans="2:8" ht="15" x14ac:dyDescent="0.15">
      <c r="B27" s="451" t="s">
        <v>585</v>
      </c>
      <c r="C27" s="235">
        <f>C18*C24</f>
        <v>79.832157482390983</v>
      </c>
      <c r="D27" s="452">
        <f ca="1">D18*D24</f>
        <v>52.106921898505163</v>
      </c>
      <c r="E27" s="453">
        <f t="shared" ref="E27:F27" ca="1" si="7">E18*E24</f>
        <v>63.717887934140464</v>
      </c>
      <c r="F27" s="454">
        <f t="shared" ca="1" si="7"/>
        <v>36.507525307847111</v>
      </c>
      <c r="G27" s="440" t="s">
        <v>586</v>
      </c>
      <c r="H27" s="441" t="s">
        <v>559</v>
      </c>
    </row>
    <row r="28" spans="2:8" x14ac:dyDescent="0.15">
      <c r="B28" s="455" t="s">
        <v>587</v>
      </c>
      <c r="C28" s="463">
        <f>C27/C7-1</f>
        <v>-8.6693084516748842E-2</v>
      </c>
      <c r="D28" s="464">
        <f t="shared" ref="D28:F28" ca="1" si="8">D27/D7-1</f>
        <v>0.20701695386854668</v>
      </c>
      <c r="E28" s="465">
        <f ca="1">E27/E7-1</f>
        <v>0.47597609298449073</v>
      </c>
      <c r="F28" s="466">
        <f t="shared" ca="1" si="8"/>
        <v>-0.1543311256000206</v>
      </c>
      <c r="H28" s="441" t="s">
        <v>559</v>
      </c>
    </row>
    <row r="30" spans="2:8" x14ac:dyDescent="0.15">
      <c r="C30" s="480"/>
      <c r="D30" s="480"/>
      <c r="E30" s="480"/>
      <c r="F30" s="480"/>
    </row>
    <row r="31" spans="2:8" x14ac:dyDescent="0.15">
      <c r="C31" s="235"/>
      <c r="D31" s="235"/>
      <c r="E31" s="235"/>
      <c r="F31" s="23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1EC2-25AC-4418-B799-1353F831B047}">
  <dimension ref="B2:P31"/>
  <sheetViews>
    <sheetView showGridLines="0" workbookViewId="0">
      <selection activeCell="I35" sqref="I35"/>
    </sheetView>
  </sheetViews>
  <sheetFormatPr baseColWidth="10" defaultColWidth="9" defaultRowHeight="14" x14ac:dyDescent="0.15"/>
  <cols>
    <col min="2" max="2" width="33.19921875" bestFit="1" customWidth="1"/>
    <col min="6" max="6" width="11.59765625" bestFit="1" customWidth="1"/>
    <col min="7" max="7" width="12.59765625" bestFit="1" customWidth="1"/>
    <col min="8" max="8" width="11.3984375" bestFit="1" customWidth="1"/>
    <col min="9" max="9" width="10.796875" bestFit="1" customWidth="1"/>
    <col min="12" max="12" width="11.59765625" bestFit="1" customWidth="1"/>
    <col min="13" max="13" width="14.796875" bestFit="1" customWidth="1"/>
    <col min="14" max="14" width="8.796875" bestFit="1" customWidth="1"/>
  </cols>
  <sheetData>
    <row r="2" spans="2:16" x14ac:dyDescent="0.15">
      <c r="B2" s="722"/>
      <c r="C2" s="722"/>
      <c r="D2" s="722"/>
      <c r="E2" s="722"/>
      <c r="F2" s="722"/>
      <c r="G2" s="722"/>
      <c r="H2" s="722"/>
      <c r="I2" s="722"/>
      <c r="J2" s="722"/>
      <c r="K2" s="722" t="s">
        <v>243</v>
      </c>
      <c r="L2" s="722" t="s">
        <v>243</v>
      </c>
      <c r="M2" s="722" t="s">
        <v>243</v>
      </c>
      <c r="N2" s="722" t="s">
        <v>640</v>
      </c>
      <c r="O2" s="722" t="s">
        <v>640</v>
      </c>
      <c r="P2" s="722" t="s">
        <v>640</v>
      </c>
    </row>
    <row r="3" spans="2:16" x14ac:dyDescent="0.15">
      <c r="B3" s="722" t="s">
        <v>609</v>
      </c>
      <c r="C3" s="722"/>
      <c r="D3" s="722" t="s">
        <v>610</v>
      </c>
      <c r="E3" s="722"/>
      <c r="F3" s="722" t="s">
        <v>641</v>
      </c>
      <c r="G3" s="722"/>
      <c r="H3" s="722"/>
      <c r="I3" s="722"/>
      <c r="J3" s="722" t="s">
        <v>613</v>
      </c>
      <c r="K3" s="722" t="s">
        <v>642</v>
      </c>
      <c r="L3" s="722" t="s">
        <v>642</v>
      </c>
      <c r="M3" s="722" t="s">
        <v>642</v>
      </c>
      <c r="N3" s="722" t="s">
        <v>643</v>
      </c>
      <c r="O3" s="722" t="s">
        <v>644</v>
      </c>
      <c r="P3" s="722" t="s">
        <v>645</v>
      </c>
    </row>
    <row r="4" spans="2:16" x14ac:dyDescent="0.15">
      <c r="B4" s="722" t="s">
        <v>615</v>
      </c>
      <c r="C4" s="722" t="s">
        <v>315</v>
      </c>
      <c r="D4" s="722" t="s">
        <v>616</v>
      </c>
      <c r="E4" s="722" t="s">
        <v>617</v>
      </c>
      <c r="F4" s="722" t="s">
        <v>646</v>
      </c>
      <c r="G4" s="722" t="s">
        <v>647</v>
      </c>
      <c r="H4" s="722" t="s">
        <v>648</v>
      </c>
      <c r="I4" s="722" t="s">
        <v>649</v>
      </c>
      <c r="J4" s="722" t="s">
        <v>650</v>
      </c>
      <c r="K4" s="722" t="s">
        <v>651</v>
      </c>
      <c r="L4" s="722" t="s">
        <v>652</v>
      </c>
      <c r="M4" s="722" t="s">
        <v>653</v>
      </c>
      <c r="N4" s="722" t="s">
        <v>621</v>
      </c>
      <c r="O4" s="722" t="s">
        <v>621</v>
      </c>
      <c r="P4" s="722" t="s">
        <v>621</v>
      </c>
    </row>
    <row r="5" spans="2:16" x14ac:dyDescent="0.15">
      <c r="B5" s="723" t="s">
        <v>622</v>
      </c>
      <c r="C5" s="723" t="s">
        <v>623</v>
      </c>
      <c r="D5" s="723" t="s">
        <v>624</v>
      </c>
      <c r="E5" s="724">
        <v>43.119999</v>
      </c>
      <c r="F5" s="725">
        <v>8410.3681639999995</v>
      </c>
      <c r="G5" s="726">
        <v>5.5869359999999997</v>
      </c>
      <c r="H5" s="726">
        <v>5.5154449999999997</v>
      </c>
      <c r="I5" s="726">
        <v>5.5082269999999998</v>
      </c>
      <c r="J5" s="726">
        <v>0.807616</v>
      </c>
      <c r="K5" s="724">
        <v>5.589607</v>
      </c>
      <c r="L5" s="724">
        <v>33.675350000000002</v>
      </c>
      <c r="M5" s="724">
        <v>152.93540999999999</v>
      </c>
      <c r="N5" s="725">
        <v>2.579707</v>
      </c>
      <c r="O5" s="725">
        <v>2.785323</v>
      </c>
      <c r="P5" s="725">
        <v>6.0431379999999999</v>
      </c>
    </row>
    <row r="6" spans="2:16" x14ac:dyDescent="0.15">
      <c r="B6" s="728" t="s">
        <v>625</v>
      </c>
      <c r="C6" s="728" t="s">
        <v>626</v>
      </c>
      <c r="D6" s="728" t="s">
        <v>624</v>
      </c>
      <c r="E6" s="729">
        <v>29.75</v>
      </c>
      <c r="F6" s="730">
        <v>10069.992188</v>
      </c>
      <c r="G6" s="731">
        <v>6.471635</v>
      </c>
      <c r="H6" s="731">
        <v>5.0308070000000003</v>
      </c>
      <c r="I6" s="731">
        <v>4.91866</v>
      </c>
      <c r="J6" s="728" t="s">
        <v>240</v>
      </c>
      <c r="K6" s="735">
        <v>-55.436680000000003</v>
      </c>
      <c r="L6" s="728" t="s">
        <v>240</v>
      </c>
      <c r="M6" s="729">
        <v>273.15063500000002</v>
      </c>
      <c r="N6" s="736">
        <v>-22.106354</v>
      </c>
      <c r="O6" s="736">
        <v>-11.521483</v>
      </c>
      <c r="P6" s="730">
        <v>21.487019</v>
      </c>
    </row>
    <row r="7" spans="2:16" x14ac:dyDescent="0.15">
      <c r="B7" s="723" t="s">
        <v>627</v>
      </c>
      <c r="C7" s="723" t="s">
        <v>628</v>
      </c>
      <c r="D7" s="723" t="s">
        <v>624</v>
      </c>
      <c r="E7" s="724">
        <v>71.160004000000001</v>
      </c>
      <c r="F7" s="725">
        <v>7433.9433589999999</v>
      </c>
      <c r="G7" s="726">
        <v>9.5362410000000004</v>
      </c>
      <c r="H7" s="726">
        <v>8.1484559999999995</v>
      </c>
      <c r="I7" s="726">
        <v>8.0287989999999994</v>
      </c>
      <c r="J7" s="726">
        <v>0.77917999999999998</v>
      </c>
      <c r="K7" s="737">
        <v>-16.445017</v>
      </c>
      <c r="L7" s="724">
        <v>526.64794900000004</v>
      </c>
      <c r="M7" s="723" t="s">
        <v>240</v>
      </c>
      <c r="N7" s="725">
        <v>17.102217</v>
      </c>
      <c r="O7" s="725">
        <v>15.780867000000001</v>
      </c>
      <c r="P7" s="738">
        <v>-6.8126790000000002</v>
      </c>
    </row>
    <row r="8" spans="2:16" x14ac:dyDescent="0.15">
      <c r="B8" s="728" t="s">
        <v>629</v>
      </c>
      <c r="C8" s="728" t="s">
        <v>630</v>
      </c>
      <c r="D8" s="728" t="s">
        <v>624</v>
      </c>
      <c r="E8" s="729">
        <v>214.33999600000001</v>
      </c>
      <c r="F8" s="730">
        <v>7509.1811520000001</v>
      </c>
      <c r="G8" s="731">
        <v>13.392065000000001</v>
      </c>
      <c r="H8" s="731">
        <v>12.266928999999999</v>
      </c>
      <c r="I8" s="731">
        <v>12.162285000000001</v>
      </c>
      <c r="J8" s="728" t="s">
        <v>240</v>
      </c>
      <c r="K8" s="729">
        <v>52.962330000000001</v>
      </c>
      <c r="L8" s="729">
        <v>61.614201000000001</v>
      </c>
      <c r="M8" s="729">
        <v>66.226128000000003</v>
      </c>
      <c r="N8" s="730">
        <v>0.78090599999999999</v>
      </c>
      <c r="O8" s="730">
        <v>28.797018000000001</v>
      </c>
      <c r="P8" s="730">
        <v>50.343456000000003</v>
      </c>
    </row>
    <row r="9" spans="2:16" x14ac:dyDescent="0.15">
      <c r="B9" s="723" t="s">
        <v>631</v>
      </c>
      <c r="C9" s="723" t="s">
        <v>632</v>
      </c>
      <c r="D9" s="723" t="s">
        <v>624</v>
      </c>
      <c r="E9" s="724">
        <v>43.240001999999997</v>
      </c>
      <c r="F9" s="725">
        <v>5426.4794920000004</v>
      </c>
      <c r="G9" s="726">
        <v>13.726984</v>
      </c>
      <c r="H9" s="726">
        <v>9.5669509999999995</v>
      </c>
      <c r="I9" s="726">
        <v>9.2789710000000003</v>
      </c>
      <c r="J9" s="723" t="s">
        <v>240</v>
      </c>
      <c r="K9" s="723" t="s">
        <v>240</v>
      </c>
      <c r="L9" s="723" t="s">
        <v>240</v>
      </c>
      <c r="M9" s="723" t="s">
        <v>240</v>
      </c>
      <c r="N9" s="723" t="s">
        <v>240</v>
      </c>
      <c r="O9" s="723" t="s">
        <v>240</v>
      </c>
      <c r="P9" s="723" t="s">
        <v>240</v>
      </c>
    </row>
    <row r="10" spans="2:16" x14ac:dyDescent="0.15">
      <c r="B10" s="728" t="s">
        <v>633</v>
      </c>
      <c r="C10" s="728" t="s">
        <v>634</v>
      </c>
      <c r="D10" s="728" t="s">
        <v>624</v>
      </c>
      <c r="E10" s="729">
        <v>55.009998000000003</v>
      </c>
      <c r="F10" s="730">
        <v>4347.1557620000003</v>
      </c>
      <c r="G10" s="731">
        <v>7.6424000000000003</v>
      </c>
      <c r="H10" s="731">
        <v>7.6714029999999998</v>
      </c>
      <c r="I10" s="731">
        <v>7.6743860000000002</v>
      </c>
      <c r="J10" s="728" t="s">
        <v>240</v>
      </c>
      <c r="K10" s="735">
        <v>-47.272101999999997</v>
      </c>
      <c r="L10" s="735">
        <v>-18.462254000000001</v>
      </c>
      <c r="M10" s="729">
        <v>59.444423999999998</v>
      </c>
      <c r="N10" s="736">
        <v>-56.001368999999997</v>
      </c>
      <c r="O10" s="736">
        <v>-54.354675</v>
      </c>
      <c r="P10" s="736">
        <v>-45.455115999999997</v>
      </c>
    </row>
    <row r="11" spans="2:16" x14ac:dyDescent="0.15">
      <c r="B11" s="723" t="s">
        <v>635</v>
      </c>
      <c r="C11" s="723" t="s">
        <v>636</v>
      </c>
      <c r="D11" s="723" t="s">
        <v>624</v>
      </c>
      <c r="E11" s="724">
        <v>270.85998499999999</v>
      </c>
      <c r="F11" s="725">
        <v>4344.4111329999996</v>
      </c>
      <c r="G11" s="726">
        <v>7.0353789999999998</v>
      </c>
      <c r="H11" s="726">
        <v>6.7951610000000002</v>
      </c>
      <c r="I11" s="726">
        <v>6.7714829999999999</v>
      </c>
      <c r="J11" s="723" t="s">
        <v>240</v>
      </c>
      <c r="K11" s="723" t="s">
        <v>240</v>
      </c>
      <c r="L11" s="724">
        <v>1.8572519999999999</v>
      </c>
      <c r="M11" s="724">
        <v>1290.156616</v>
      </c>
      <c r="N11" s="723" t="s">
        <v>240</v>
      </c>
      <c r="O11" s="738">
        <v>-50.206111999999997</v>
      </c>
      <c r="P11" s="725">
        <v>16.828707000000001</v>
      </c>
    </row>
    <row r="12" spans="2:16" x14ac:dyDescent="0.15">
      <c r="B12" s="728" t="s">
        <v>637</v>
      </c>
      <c r="C12" s="728" t="s">
        <v>638</v>
      </c>
      <c r="D12" s="728" t="s">
        <v>624</v>
      </c>
      <c r="E12" s="729">
        <v>24.07</v>
      </c>
      <c r="F12" s="730">
        <v>4083.7609859999998</v>
      </c>
      <c r="G12" s="731">
        <v>4.194585</v>
      </c>
      <c r="H12" s="731">
        <v>3.3985150000000002</v>
      </c>
      <c r="I12" s="731">
        <v>3.3337210000000002</v>
      </c>
      <c r="J12" s="728" t="s">
        <v>240</v>
      </c>
      <c r="K12" s="728" t="s">
        <v>240</v>
      </c>
      <c r="L12" s="735">
        <v>-39.367783000000003</v>
      </c>
      <c r="M12" s="735">
        <v>-74.021484000000001</v>
      </c>
      <c r="N12" s="736">
        <v>-5.8900459999999999</v>
      </c>
      <c r="O12" s="730">
        <v>2.1809509999999999</v>
      </c>
      <c r="P12" s="730">
        <v>15.615963000000001</v>
      </c>
    </row>
    <row r="13" spans="2:16" x14ac:dyDescent="0.15">
      <c r="B13" s="723" t="s">
        <v>639</v>
      </c>
      <c r="C13" s="723"/>
      <c r="D13" s="723"/>
      <c r="E13" s="723"/>
      <c r="F13" s="723"/>
      <c r="G13" s="726">
        <v>8.4482780000000002</v>
      </c>
      <c r="H13" s="726">
        <v>7.2992080000000001</v>
      </c>
      <c r="I13" s="726">
        <v>7.2095659999999997</v>
      </c>
      <c r="J13" s="726">
        <v>0.79339800000000005</v>
      </c>
      <c r="K13" s="737">
        <v>-12.120372</v>
      </c>
      <c r="L13" s="724">
        <v>94.327451999999994</v>
      </c>
      <c r="M13" s="724">
        <v>294.64862099999999</v>
      </c>
      <c r="N13" s="738">
        <v>-10.589155999999999</v>
      </c>
      <c r="O13" s="738">
        <v>-9.5054440000000007</v>
      </c>
      <c r="P13" s="725">
        <v>8.2929270000000006</v>
      </c>
    </row>
    <row r="14" spans="2:16" x14ac:dyDescent="0.15">
      <c r="B14" s="728" t="s">
        <v>31</v>
      </c>
      <c r="C14" s="728"/>
      <c r="D14" s="728"/>
      <c r="E14" s="728"/>
      <c r="F14" s="728"/>
      <c r="G14" s="731">
        <v>7.3388900000000001</v>
      </c>
      <c r="H14" s="731">
        <v>7.233282</v>
      </c>
      <c r="I14" s="731">
        <v>7.2229349999999997</v>
      </c>
      <c r="J14" s="731">
        <v>0.79339800000000005</v>
      </c>
      <c r="K14" s="735">
        <v>-16.445017</v>
      </c>
      <c r="L14" s="729">
        <v>17.766300999999999</v>
      </c>
      <c r="M14" s="729">
        <v>109.580769</v>
      </c>
      <c r="N14" s="736">
        <v>-2.55457</v>
      </c>
      <c r="O14" s="730">
        <v>2.1809509999999999</v>
      </c>
      <c r="P14" s="730">
        <v>15.615963000000001</v>
      </c>
    </row>
    <row r="15" spans="2:16" x14ac:dyDescent="0.15">
      <c r="B15" s="728"/>
      <c r="C15" s="728"/>
      <c r="D15" s="728"/>
      <c r="E15" s="728"/>
      <c r="F15" s="728"/>
      <c r="G15" s="731"/>
      <c r="H15" s="731"/>
      <c r="I15" s="731"/>
      <c r="J15" s="731"/>
      <c r="K15" s="735"/>
      <c r="L15" s="729"/>
      <c r="M15" s="729"/>
      <c r="N15" s="736"/>
      <c r="O15" s="730"/>
      <c r="P15" s="730"/>
    </row>
    <row r="16" spans="2:16" x14ac:dyDescent="0.15">
      <c r="B16" s="728"/>
      <c r="C16" s="728"/>
      <c r="D16" s="728"/>
      <c r="E16" s="728"/>
      <c r="F16" s="728"/>
      <c r="G16" s="731"/>
      <c r="H16" s="731"/>
      <c r="I16" s="731"/>
      <c r="J16" s="731"/>
      <c r="K16" s="735"/>
      <c r="L16" s="729"/>
      <c r="M16" s="729"/>
      <c r="N16" s="736"/>
      <c r="O16" s="730"/>
      <c r="P16" s="730"/>
    </row>
    <row r="19" spans="2:13" x14ac:dyDescent="0.15">
      <c r="B19" s="722"/>
      <c r="C19" s="722"/>
      <c r="D19" s="722"/>
      <c r="E19" s="722" t="s">
        <v>606</v>
      </c>
      <c r="F19" s="722"/>
      <c r="G19" s="722" t="s">
        <v>607</v>
      </c>
      <c r="H19" s="722"/>
      <c r="I19" s="722"/>
      <c r="J19" s="722"/>
      <c r="K19" s="722"/>
      <c r="L19" s="722" t="s">
        <v>608</v>
      </c>
      <c r="M19" s="722"/>
    </row>
    <row r="20" spans="2:13" x14ac:dyDescent="0.15">
      <c r="B20" s="722" t="s">
        <v>609</v>
      </c>
      <c r="C20" s="722"/>
      <c r="D20" s="722" t="s">
        <v>610</v>
      </c>
      <c r="E20" s="722"/>
      <c r="F20" s="722"/>
      <c r="G20" s="722"/>
      <c r="H20" s="722" t="s">
        <v>611</v>
      </c>
      <c r="I20" s="722"/>
      <c r="J20" s="722"/>
      <c r="K20" s="722" t="s">
        <v>612</v>
      </c>
      <c r="L20" s="722"/>
      <c r="M20" s="722" t="s">
        <v>614</v>
      </c>
    </row>
    <row r="21" spans="2:13" x14ac:dyDescent="0.15">
      <c r="B21" s="722" t="s">
        <v>615</v>
      </c>
      <c r="C21" s="722" t="s">
        <v>315</v>
      </c>
      <c r="D21" s="722" t="s">
        <v>616</v>
      </c>
      <c r="E21" s="722" t="s">
        <v>617</v>
      </c>
      <c r="F21" s="722" t="s">
        <v>618</v>
      </c>
      <c r="G21" s="722" t="s">
        <v>619</v>
      </c>
      <c r="H21" s="722" t="s">
        <v>620</v>
      </c>
      <c r="I21" s="722" t="s">
        <v>611</v>
      </c>
      <c r="J21" s="722" t="s">
        <v>612</v>
      </c>
      <c r="K21" s="722" t="s">
        <v>620</v>
      </c>
      <c r="L21" s="722" t="s">
        <v>321</v>
      </c>
      <c r="M21" s="722" t="s">
        <v>621</v>
      </c>
    </row>
    <row r="22" spans="2:13" x14ac:dyDescent="0.15">
      <c r="B22" s="723" t="s">
        <v>622</v>
      </c>
      <c r="C22" s="723" t="s">
        <v>623</v>
      </c>
      <c r="D22" s="723" t="s">
        <v>624</v>
      </c>
      <c r="E22" s="724">
        <v>43.119999</v>
      </c>
      <c r="F22" s="725">
        <v>8513.425056</v>
      </c>
      <c r="G22" s="726">
        <v>5.5154449999999997</v>
      </c>
      <c r="H22" s="726">
        <v>0.65857399999999999</v>
      </c>
      <c r="I22" s="726">
        <v>0.87430300000000005</v>
      </c>
      <c r="J22" s="726">
        <v>0.90711399999999998</v>
      </c>
      <c r="K22" s="726">
        <v>0.67701999999999996</v>
      </c>
      <c r="L22" s="727">
        <v>13.489736000000001</v>
      </c>
      <c r="M22" s="727">
        <v>61.610537999999998</v>
      </c>
    </row>
    <row r="23" spans="2:13" x14ac:dyDescent="0.15">
      <c r="B23" s="728" t="s">
        <v>625</v>
      </c>
      <c r="C23" s="728" t="s">
        <v>626</v>
      </c>
      <c r="D23" s="728" t="s">
        <v>624</v>
      </c>
      <c r="E23" s="729">
        <v>29.75</v>
      </c>
      <c r="F23" s="730">
        <v>10208.009072999999</v>
      </c>
      <c r="G23" s="731">
        <v>5.0308070000000003</v>
      </c>
      <c r="H23" s="731">
        <v>1.0244329999999999</v>
      </c>
      <c r="I23" s="731">
        <v>127.20742300000001</v>
      </c>
      <c r="J23" s="728" t="s">
        <v>240</v>
      </c>
      <c r="K23" s="731">
        <v>2.268551</v>
      </c>
      <c r="L23" s="732">
        <v>48.478783</v>
      </c>
      <c r="M23" s="728" t="s">
        <v>240</v>
      </c>
    </row>
    <row r="24" spans="2:13" x14ac:dyDescent="0.15">
      <c r="B24" s="723" t="s">
        <v>627</v>
      </c>
      <c r="C24" s="723" t="s">
        <v>628</v>
      </c>
      <c r="D24" s="723" t="s">
        <v>624</v>
      </c>
      <c r="E24" s="724">
        <v>71.160004000000001</v>
      </c>
      <c r="F24" s="725">
        <v>7780.2284820000004</v>
      </c>
      <c r="G24" s="726">
        <v>8.1484559999999995</v>
      </c>
      <c r="H24" s="726">
        <v>1.1226830000000001</v>
      </c>
      <c r="I24" s="726">
        <v>2.3911310000000001</v>
      </c>
      <c r="J24" s="726">
        <v>5.0554880000000004</v>
      </c>
      <c r="K24" s="726">
        <v>1.491833</v>
      </c>
      <c r="L24" s="727">
        <v>19.307479000000001</v>
      </c>
      <c r="M24" s="733">
        <v>-73.960396000000003</v>
      </c>
    </row>
    <row r="25" spans="2:13" x14ac:dyDescent="0.15">
      <c r="B25" s="728" t="s">
        <v>629</v>
      </c>
      <c r="C25" s="728" t="s">
        <v>630</v>
      </c>
      <c r="D25" s="728" t="s">
        <v>624</v>
      </c>
      <c r="E25" s="729">
        <v>214.33999600000001</v>
      </c>
      <c r="F25" s="730">
        <v>7594.6568280000001</v>
      </c>
      <c r="G25" s="731">
        <v>12.266928999999999</v>
      </c>
      <c r="H25" s="731">
        <v>3.4188290000000001</v>
      </c>
      <c r="I25" s="731">
        <v>3.2757710000000002</v>
      </c>
      <c r="J25" s="731">
        <v>3.7741319999999998</v>
      </c>
      <c r="K25" s="731">
        <v>3.9652989999999999</v>
      </c>
      <c r="L25" s="732">
        <v>28.027138999999998</v>
      </c>
      <c r="M25" s="732">
        <v>3.9179740000000001</v>
      </c>
    </row>
    <row r="26" spans="2:13" x14ac:dyDescent="0.15">
      <c r="B26" s="723" t="s">
        <v>631</v>
      </c>
      <c r="C26" s="723" t="s">
        <v>632</v>
      </c>
      <c r="D26" s="723" t="s">
        <v>624</v>
      </c>
      <c r="E26" s="724">
        <v>43.240001999999997</v>
      </c>
      <c r="F26" s="725">
        <v>5426.4792539999999</v>
      </c>
      <c r="G26" s="726">
        <v>9.5669509999999995</v>
      </c>
      <c r="H26" s="726">
        <v>1.002675</v>
      </c>
      <c r="I26" s="726">
        <v>2.2877230000000002</v>
      </c>
      <c r="J26" s="723" t="s">
        <v>240</v>
      </c>
      <c r="K26" s="723" t="s">
        <v>240</v>
      </c>
      <c r="L26" s="723" t="s">
        <v>240</v>
      </c>
      <c r="M26" s="733">
        <v>-49.240291999999997</v>
      </c>
    </row>
    <row r="27" spans="2:13" x14ac:dyDescent="0.15">
      <c r="B27" s="728" t="s">
        <v>633</v>
      </c>
      <c r="C27" s="728" t="s">
        <v>634</v>
      </c>
      <c r="D27" s="728" t="s">
        <v>624</v>
      </c>
      <c r="E27" s="729">
        <v>55.009998000000003</v>
      </c>
      <c r="F27" s="730">
        <v>4418.2976440000002</v>
      </c>
      <c r="G27" s="731">
        <v>7.6714029999999998</v>
      </c>
      <c r="H27" s="731">
        <v>0.67050500000000002</v>
      </c>
      <c r="I27" s="731">
        <v>2.1155409999999999</v>
      </c>
      <c r="J27" s="731">
        <v>2.1155409999999999</v>
      </c>
      <c r="K27" s="731">
        <v>0.67050500000000002</v>
      </c>
      <c r="L27" s="732">
        <v>24.977447999999999</v>
      </c>
      <c r="M27" s="732">
        <v>182.41107199999999</v>
      </c>
    </row>
    <row r="28" spans="2:13" x14ac:dyDescent="0.15">
      <c r="B28" s="723" t="s">
        <v>635</v>
      </c>
      <c r="C28" s="723" t="s">
        <v>636</v>
      </c>
      <c r="D28" s="723" t="s">
        <v>624</v>
      </c>
      <c r="E28" s="724">
        <v>270.85998499999999</v>
      </c>
      <c r="F28" s="725">
        <v>4393.3399909999998</v>
      </c>
      <c r="G28" s="726">
        <v>6.7951610000000002</v>
      </c>
      <c r="H28" s="726">
        <v>0.79717499999999997</v>
      </c>
      <c r="I28" s="726">
        <v>0.89034500000000005</v>
      </c>
      <c r="J28" s="726">
        <v>0.89034500000000005</v>
      </c>
      <c r="K28" s="726">
        <v>0.79717499999999997</v>
      </c>
      <c r="L28" s="727">
        <v>18.619223000000002</v>
      </c>
      <c r="M28" s="733">
        <v>-338.81842</v>
      </c>
    </row>
    <row r="29" spans="2:13" x14ac:dyDescent="0.15">
      <c r="B29" s="728" t="s">
        <v>637</v>
      </c>
      <c r="C29" s="728" t="s">
        <v>638</v>
      </c>
      <c r="D29" s="728" t="s">
        <v>624</v>
      </c>
      <c r="E29" s="729">
        <v>24.07</v>
      </c>
      <c r="F29" s="730">
        <v>4148.9085670000004</v>
      </c>
      <c r="G29" s="731">
        <v>3.3985150000000002</v>
      </c>
      <c r="H29" s="731">
        <v>0.38190200000000002</v>
      </c>
      <c r="I29" s="731">
        <v>1.8453109999999999</v>
      </c>
      <c r="J29" s="731">
        <v>3.8200880000000002</v>
      </c>
      <c r="K29" s="731">
        <v>0.42765500000000001</v>
      </c>
      <c r="L29" s="732">
        <v>18.020679000000001</v>
      </c>
      <c r="M29" s="734">
        <v>-275.246307</v>
      </c>
    </row>
    <row r="30" spans="2:13" x14ac:dyDescent="0.15">
      <c r="B30" s="723" t="s">
        <v>639</v>
      </c>
      <c r="C30" s="723"/>
      <c r="D30" s="723"/>
      <c r="E30" s="723"/>
      <c r="F30" s="723"/>
      <c r="G30" s="726">
        <v>7.2992080000000001</v>
      </c>
      <c r="H30" s="726">
        <v>1.1345970000000001</v>
      </c>
      <c r="I30" s="726">
        <v>17.610944</v>
      </c>
      <c r="J30" s="726">
        <v>2.7604510000000002</v>
      </c>
      <c r="K30" s="726">
        <v>1.4711479999999999</v>
      </c>
      <c r="L30" s="727">
        <v>24.417211999999999</v>
      </c>
      <c r="M30" s="733">
        <v>-69.903689999999997</v>
      </c>
    </row>
    <row r="31" spans="2:13" x14ac:dyDescent="0.15">
      <c r="B31" s="728" t="s">
        <v>31</v>
      </c>
      <c r="C31" s="728"/>
      <c r="D31" s="728"/>
      <c r="E31" s="728"/>
      <c r="F31" s="728"/>
      <c r="G31" s="731">
        <v>7.233282</v>
      </c>
      <c r="H31" s="731">
        <v>0.89992499999999997</v>
      </c>
      <c r="I31" s="731">
        <v>2.201632</v>
      </c>
      <c r="J31" s="731">
        <v>2.9448370000000001</v>
      </c>
      <c r="K31" s="731">
        <v>0.79717499999999997</v>
      </c>
      <c r="L31" s="732">
        <v>19.307479000000001</v>
      </c>
      <c r="M31" s="734">
        <v>-49.240291999999997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9971-497D-482F-8AB2-6AF552651A69}">
  <dimension ref="B2:E25"/>
  <sheetViews>
    <sheetView showGridLines="0" topLeftCell="A7" workbookViewId="0">
      <selection activeCell="M6" sqref="M6"/>
    </sheetView>
  </sheetViews>
  <sheetFormatPr baseColWidth="10" defaultColWidth="9" defaultRowHeight="14" x14ac:dyDescent="0.15"/>
  <cols>
    <col min="2" max="2" width="28.19921875" customWidth="1"/>
    <col min="3" max="3" width="10" bestFit="1" customWidth="1"/>
  </cols>
  <sheetData>
    <row r="2" spans="2:5" x14ac:dyDescent="0.15">
      <c r="B2" s="707"/>
      <c r="C2" s="708" t="s">
        <v>595</v>
      </c>
      <c r="D2" s="708" t="s">
        <v>54</v>
      </c>
      <c r="E2" s="708" t="s">
        <v>55</v>
      </c>
    </row>
    <row r="3" spans="2:5" x14ac:dyDescent="0.15">
      <c r="B3" s="709" t="s">
        <v>596</v>
      </c>
      <c r="C3" s="710"/>
      <c r="D3" s="710"/>
      <c r="E3" s="710"/>
    </row>
    <row r="4" spans="2:5" x14ac:dyDescent="0.15">
      <c r="B4" s="710" t="s">
        <v>597</v>
      </c>
      <c r="C4" s="721">
        <f>'Unum US Breakout - Bull'!AO6</f>
        <v>5.2953677516258499E-2</v>
      </c>
      <c r="D4" s="721">
        <f>'Unum US Breakout - Bull'!AP6</f>
        <v>0.22507403978936827</v>
      </c>
      <c r="E4" s="721">
        <f>'Unum US Breakout - Bull'!AQ6</f>
        <v>0.04</v>
      </c>
    </row>
    <row r="5" spans="2:5" x14ac:dyDescent="0.15">
      <c r="B5" s="710" t="s">
        <v>598</v>
      </c>
      <c r="C5" s="711">
        <f>'Unum US Breakout - Base'!AO6</f>
        <v>5.2953677516258499E-2</v>
      </c>
      <c r="D5" s="711">
        <f>'Unum US Breakout - Base'!AP6</f>
        <v>0.12408334218553219</v>
      </c>
      <c r="E5" s="711">
        <f>'Unum US Breakout - Base'!AQ6</f>
        <v>0.03</v>
      </c>
    </row>
    <row r="6" spans="2:5" x14ac:dyDescent="0.15">
      <c r="B6" s="710" t="s">
        <v>599</v>
      </c>
      <c r="C6" s="711">
        <f>'Unum US Breakout - Bear'!AO6</f>
        <v>5.2953677516258499E-2</v>
      </c>
      <c r="D6" s="711">
        <f>'Unum US Breakout - Bear'!AP6</f>
        <v>2.0380290453283181E-2</v>
      </c>
      <c r="E6" s="711">
        <f>'Unum US Breakout - Bear'!AQ6</f>
        <v>0</v>
      </c>
    </row>
    <row r="7" spans="2:5" x14ac:dyDescent="0.15">
      <c r="B7" s="710"/>
      <c r="C7" s="710"/>
      <c r="D7" s="710"/>
      <c r="E7" s="710"/>
    </row>
    <row r="8" spans="2:5" x14ac:dyDescent="0.15">
      <c r="B8" s="709" t="s">
        <v>600</v>
      </c>
      <c r="C8" s="710"/>
      <c r="D8" s="710"/>
      <c r="E8" s="710"/>
    </row>
    <row r="9" spans="2:5" x14ac:dyDescent="0.15">
      <c r="B9" s="710" t="s">
        <v>597</v>
      </c>
      <c r="C9" s="712">
        <f>'Bull Case'!M97</f>
        <v>4.6389411993963705</v>
      </c>
      <c r="D9" s="712">
        <f>'Bull Case'!N97</f>
        <v>2.0627425911195401</v>
      </c>
      <c r="E9" s="712">
        <f>'Bull Case'!O97</f>
        <v>0.31847349348109733</v>
      </c>
    </row>
    <row r="10" spans="2:5" x14ac:dyDescent="0.15">
      <c r="B10" s="710" t="s">
        <v>598</v>
      </c>
      <c r="C10" s="712">
        <f>'Base Case'!M97</f>
        <v>4.6389411993963705</v>
      </c>
      <c r="D10" s="712">
        <f>'Base Case'!N97</f>
        <v>-0.13391701678749646</v>
      </c>
      <c r="E10" s="712">
        <f>'Base Case'!O97</f>
        <v>0.98573170103196384</v>
      </c>
    </row>
    <row r="11" spans="2:5" x14ac:dyDescent="0.15">
      <c r="B11" s="710" t="s">
        <v>599</v>
      </c>
      <c r="C11" s="712">
        <f>C10</f>
        <v>4.6389411993963705</v>
      </c>
      <c r="D11" s="712">
        <f>'Bear Case'!N97</f>
        <v>-1.9902189580503327</v>
      </c>
      <c r="E11" s="712">
        <f>'Bear Case'!O97</f>
        <v>0.28942241822582093</v>
      </c>
    </row>
    <row r="12" spans="2:5" x14ac:dyDescent="0.15">
      <c r="B12" s="710"/>
      <c r="C12" s="710"/>
      <c r="D12" s="710"/>
      <c r="E12" s="710"/>
    </row>
    <row r="13" spans="2:5" x14ac:dyDescent="0.15">
      <c r="B13" s="709" t="s">
        <v>601</v>
      </c>
      <c r="C13" s="710"/>
      <c r="D13" s="710"/>
      <c r="E13" s="710"/>
    </row>
    <row r="14" spans="2:5" x14ac:dyDescent="0.15">
      <c r="B14" s="710" t="s">
        <v>597</v>
      </c>
      <c r="C14" s="713">
        <f>'Bull Case'!M125</f>
        <v>0.25425810470969457</v>
      </c>
      <c r="D14" s="713">
        <f>'Bull Case'!N125</f>
        <v>0.4120819068454169</v>
      </c>
      <c r="E14" s="713">
        <f>'Bull Case'!O125</f>
        <v>5.9501603839727135E-2</v>
      </c>
    </row>
    <row r="15" spans="2:5" x14ac:dyDescent="0.15">
      <c r="B15" s="710" t="s">
        <v>598</v>
      </c>
      <c r="C15" s="713">
        <f>'Base Case'!M125</f>
        <v>0.25425810470969457</v>
      </c>
      <c r="D15" s="713">
        <f>'Base Case'!N125</f>
        <v>0.11639577926825484</v>
      </c>
      <c r="E15" s="713">
        <f>'Base Case'!O125</f>
        <v>9.5822347928940843E-2</v>
      </c>
    </row>
    <row r="16" spans="2:5" x14ac:dyDescent="0.15">
      <c r="B16" s="710" t="s">
        <v>599</v>
      </c>
      <c r="C16" s="713">
        <f>C15</f>
        <v>0.25425810470969457</v>
      </c>
      <c r="D16" s="713">
        <f>'Bear Case'!N125</f>
        <v>-0.1292760361148475</v>
      </c>
      <c r="E16" s="713">
        <f>'Bear Case'!O125</f>
        <v>-1.8979080660196379E-2</v>
      </c>
    </row>
    <row r="17" spans="2:5" x14ac:dyDescent="0.15">
      <c r="B17" s="710"/>
      <c r="C17" s="714"/>
      <c r="D17" s="710"/>
      <c r="E17" s="710"/>
    </row>
    <row r="18" spans="2:5" x14ac:dyDescent="0.15">
      <c r="B18" s="709" t="s">
        <v>243</v>
      </c>
      <c r="C18" s="710"/>
      <c r="D18" s="715" t="s">
        <v>602</v>
      </c>
      <c r="E18" s="710"/>
    </row>
    <row r="19" spans="2:5" x14ac:dyDescent="0.15">
      <c r="B19" s="710" t="s">
        <v>597</v>
      </c>
      <c r="C19" s="716">
        <f>'Bull Case'!M124</f>
        <v>7.788942830247203</v>
      </c>
      <c r="D19" s="716">
        <f>'Bull Case'!N124</f>
        <v>10.998625244045408</v>
      </c>
      <c r="E19" s="716">
        <f>'Bull Case'!O124</f>
        <v>11.653061086098219</v>
      </c>
    </row>
    <row r="20" spans="2:5" x14ac:dyDescent="0.15">
      <c r="B20" s="710" t="s">
        <v>598</v>
      </c>
      <c r="C20" s="716">
        <f>'Base Case'!M124</f>
        <v>7.788942830247203</v>
      </c>
      <c r="D20" s="716">
        <f>'Base Case'!N124</f>
        <v>8.6955429006497127</v>
      </c>
      <c r="E20" s="716">
        <f>'Base Case'!O124</f>
        <v>9.5287702379068016</v>
      </c>
    </row>
    <row r="21" spans="2:5" x14ac:dyDescent="0.15">
      <c r="B21" s="710" t="s">
        <v>599</v>
      </c>
      <c r="C21" s="716">
        <f>'Bear Case'!M124</f>
        <v>7.8179361125270068</v>
      </c>
      <c r="D21" s="716">
        <f>'Bear Case'!N124</f>
        <v>6.8072643213003952</v>
      </c>
      <c r="E21" s="716">
        <f>'Bear Case'!O124</f>
        <v>6.6780687026711583</v>
      </c>
    </row>
    <row r="22" spans="2:5" x14ac:dyDescent="0.15">
      <c r="B22" s="710"/>
      <c r="C22" s="710"/>
      <c r="D22" s="710"/>
      <c r="E22" s="710"/>
    </row>
    <row r="23" spans="2:5" x14ac:dyDescent="0.15">
      <c r="B23" s="710"/>
      <c r="C23" s="710"/>
      <c r="D23" s="715" t="s">
        <v>603</v>
      </c>
      <c r="E23" s="710"/>
    </row>
    <row r="24" spans="2:5" x14ac:dyDescent="0.15">
      <c r="B24" s="710" t="s">
        <v>243</v>
      </c>
      <c r="C24" s="716">
        <v>7.72</v>
      </c>
      <c r="D24" s="716">
        <v>7.83</v>
      </c>
      <c r="E24" s="716">
        <v>8.48</v>
      </c>
    </row>
    <row r="25" spans="2:5" x14ac:dyDescent="0.15">
      <c r="B25" s="710" t="s">
        <v>604</v>
      </c>
      <c r="C25" s="711">
        <f>(C20/C24)-1</f>
        <v>8.9304184258034436E-3</v>
      </c>
      <c r="D25" s="711">
        <f t="shared" ref="D25" si="0">(D20/D24)-1</f>
        <v>0.11054187747761346</v>
      </c>
      <c r="E25" s="711">
        <f>(E20/E24)-1</f>
        <v>0.12367573560221712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008D-2B4B-4C5A-BAD7-2B6B143D95BF}">
  <dimension ref="A1:X84"/>
  <sheetViews>
    <sheetView workbookViewId="0">
      <pane xSplit="4" ySplit="7" topLeftCell="E14" activePane="bottomRight" state="frozen"/>
      <selection pane="topRight" activeCell="E1" sqref="E1"/>
      <selection pane="bottomLeft" activeCell="A8" sqref="A8"/>
      <selection pane="bottomRight" activeCell="G45" sqref="G45"/>
    </sheetView>
  </sheetViews>
  <sheetFormatPr baseColWidth="10" defaultColWidth="9" defaultRowHeight="14" outlineLevelCol="1" x14ac:dyDescent="0.15"/>
  <cols>
    <col min="1" max="1" width="57.3984375" bestFit="1" customWidth="1"/>
    <col min="2" max="2" width="15.3984375" bestFit="1" customWidth="1"/>
    <col min="3" max="4" width="4.19921875" customWidth="1"/>
    <col min="5" max="5" width="10.59765625" customWidth="1"/>
    <col min="6" max="6" width="10.3984375" bestFit="1" customWidth="1"/>
    <col min="7" max="11" width="10.59765625" customWidth="1"/>
    <col min="12" max="12" width="11.19921875" customWidth="1"/>
    <col min="13" max="15" width="10.59765625" customWidth="1"/>
    <col min="20" max="20" width="22.19921875" customWidth="1" outlineLevel="1"/>
    <col min="21" max="21" width="13.3984375" customWidth="1" outlineLevel="1"/>
    <col min="22" max="22" width="54.796875" customWidth="1" outlineLevel="1"/>
  </cols>
  <sheetData>
    <row r="1" spans="1:24" s="2" customFormat="1" ht="45" x14ac:dyDescent="0.15">
      <c r="A1" s="60" t="str">
        <f>'Base Case'!ALLFINSTAT_RWIdentifier</f>
        <v>UNM</v>
      </c>
      <c r="D1" s="1"/>
      <c r="E1" s="3">
        <v>1</v>
      </c>
      <c r="F1" s="4">
        <v>1</v>
      </c>
      <c r="G1" s="3">
        <v>2</v>
      </c>
      <c r="H1" s="69" t="str">
        <f>'Base Case'!E1</f>
        <v>LOCAL</v>
      </c>
      <c r="I1" s="5" t="s">
        <v>37</v>
      </c>
      <c r="J1" s="8" t="s">
        <v>167</v>
      </c>
      <c r="K1" s="5"/>
      <c r="L1" s="5"/>
      <c r="M1" s="6"/>
      <c r="N1" s="5"/>
      <c r="O1" s="5"/>
      <c r="P1" s="5"/>
      <c r="Q1" s="5"/>
      <c r="R1" s="5"/>
      <c r="S1" s="5"/>
      <c r="T1" s="7" t="s">
        <v>168</v>
      </c>
      <c r="V1" s="9" t="s">
        <v>25</v>
      </c>
    </row>
    <row r="2" spans="1:24" s="11" customFormat="1" ht="42" x14ac:dyDescent="0.15">
      <c r="A2" s="52"/>
      <c r="D2" s="10"/>
      <c r="E2" s="12">
        <f>CHOOSE(E1,C6,D6)</f>
        <v>0</v>
      </c>
      <c r="F2" s="13" t="str">
        <f>CHOOSE(F1,U3,V3)</f>
        <v>Includes restatements</v>
      </c>
      <c r="G2" s="12" t="str">
        <f>CHOOSE(G1,U2,V2)</f>
        <v>Median</v>
      </c>
      <c r="H2" s="12" t="s">
        <v>17</v>
      </c>
      <c r="I2" s="64" t="s">
        <v>22</v>
      </c>
      <c r="J2" s="65" t="s">
        <v>169</v>
      </c>
      <c r="K2" s="66"/>
      <c r="L2" s="66"/>
      <c r="M2" s="14" t="s">
        <v>29</v>
      </c>
      <c r="T2" s="15"/>
      <c r="U2" s="16" t="s">
        <v>30</v>
      </c>
      <c r="V2" s="16" t="s">
        <v>31</v>
      </c>
    </row>
    <row r="3" spans="1:24" s="2" customFormat="1" x14ac:dyDescent="0.15">
      <c r="A3" s="17" t="s">
        <v>170</v>
      </c>
      <c r="B3" s="18"/>
      <c r="C3" s="18"/>
      <c r="D3" s="18"/>
      <c r="E3" s="19"/>
      <c r="F3" s="5"/>
      <c r="G3" s="20"/>
      <c r="H3" s="5"/>
      <c r="I3" s="5"/>
      <c r="J3" s="8"/>
      <c r="L3" s="5"/>
      <c r="M3" s="5"/>
      <c r="N3" s="5"/>
      <c r="O3" s="5"/>
      <c r="P3" s="5"/>
      <c r="Q3" s="5"/>
      <c r="R3" s="5"/>
      <c r="S3" s="5"/>
      <c r="T3" s="21"/>
      <c r="U3" s="22" t="s">
        <v>10</v>
      </c>
      <c r="V3" s="22" t="s">
        <v>11</v>
      </c>
    </row>
    <row r="4" spans="1:24" s="2" customFormat="1" x14ac:dyDescent="0.15">
      <c r="A4" s="23" t="str">
        <f>"Financial Statements Summary - "&amp; _xll.FDSC("-",ALLFINSTAT_RWIdentifier,"FG_COMPANY_NAME")&amp;" ("&amp;UPPER(ALLFINSTAT_RWIdentifier)&amp;")"</f>
        <v>Financial Statements Summary - Unum Group (UNM)</v>
      </c>
      <c r="B4" s="24"/>
      <c r="C4" s="24"/>
      <c r="D4" s="24"/>
      <c r="E4" s="18"/>
      <c r="F4" s="18"/>
      <c r="G4" s="18"/>
      <c r="H4" s="18"/>
      <c r="I4" s="5"/>
      <c r="J4" s="5"/>
      <c r="M4" s="5"/>
      <c r="N4" s="5"/>
      <c r="O4" s="5"/>
      <c r="P4" s="5"/>
      <c r="Q4" s="5"/>
      <c r="R4" s="5"/>
      <c r="S4" s="5"/>
      <c r="T4" s="21"/>
      <c r="U4" s="22" t="s">
        <v>39</v>
      </c>
      <c r="V4" s="22" t="s">
        <v>40</v>
      </c>
    </row>
    <row r="5" spans="1:24" s="28" customFormat="1" x14ac:dyDescent="0.15">
      <c r="A5" s="25"/>
      <c r="B5" s="25"/>
      <c r="C5" s="25"/>
      <c r="D5" s="25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7"/>
    </row>
    <row r="6" spans="1:24" s="2" customFormat="1" x14ac:dyDescent="0.15">
      <c r="A6" s="29" t="s">
        <v>41</v>
      </c>
      <c r="B6" s="30" t="s">
        <v>171</v>
      </c>
      <c r="C6" s="30"/>
      <c r="D6" s="30"/>
      <c r="E6" s="31" t="s">
        <v>42</v>
      </c>
      <c r="F6" s="31" t="s">
        <v>43</v>
      </c>
      <c r="G6" s="31" t="s">
        <v>44</v>
      </c>
      <c r="H6" s="31" t="s">
        <v>45</v>
      </c>
      <c r="I6" s="31" t="s">
        <v>46</v>
      </c>
      <c r="J6" s="31" t="s">
        <v>47</v>
      </c>
      <c r="K6" s="31" t="s">
        <v>48</v>
      </c>
      <c r="L6" s="31" t="s">
        <v>49</v>
      </c>
      <c r="M6" s="31" t="s">
        <v>50</v>
      </c>
      <c r="N6" s="31" t="s">
        <v>51</v>
      </c>
      <c r="O6" s="31" t="s">
        <v>52</v>
      </c>
      <c r="P6" s="31"/>
      <c r="Q6" s="31"/>
      <c r="R6" s="31"/>
      <c r="S6" s="31"/>
      <c r="T6" s="32"/>
    </row>
    <row r="7" spans="1:24" s="2" customFormat="1" x14ac:dyDescent="0.15">
      <c r="A7" s="2" t="s">
        <v>58</v>
      </c>
      <c r="E7" s="47" t="str" cm="1">
        <f t="array" ref="E7">_xll.FDSRC("-",$A$1,"CONVERT_DATE(FF_FISCAL_DATE(ANN_R,"&amp;E$6&amp;","&amp;E$6&amp;",,,"""",""DATEJ""),""MM/YYYY"")")</f>
        <v>12/2012</v>
      </c>
      <c r="F7" s="47" t="str" cm="1">
        <f t="array" ref="F7">_xll.FDSRC("-",$A$1,"CONVERT_DATE(FF_FISCAL_DATE(ANN_R,"&amp;F$6&amp;","&amp;F$6&amp;",,,"""",""DATEJ""),""MM/YYYY"")")</f>
        <v>12/2013</v>
      </c>
      <c r="G7" s="47" t="str" cm="1">
        <f t="array" ref="G7">_xll.FDSRC("-",$A$1,"CONVERT_DATE(FF_FISCAL_DATE(ANN_R,"&amp;G$6&amp;","&amp;G$6&amp;",,,"""",""DATEJ""),""MM/YYYY"")")</f>
        <v>12/2014</v>
      </c>
      <c r="H7" s="47" t="str" cm="1">
        <f t="array" ref="H7">_xll.FDSRC("-",$A$1,"CONVERT_DATE(FF_FISCAL_DATE(ANN_R,"&amp;H$6&amp;","&amp;H$6&amp;",,,"""",""DATEJ""),""MM/YYYY"")")</f>
        <v>12/2015</v>
      </c>
      <c r="I7" s="47" t="str" cm="1">
        <f t="array" ref="I7">_xll.FDSRC("-",$A$1,"CONVERT_DATE(FF_FISCAL_DATE(ANN_R,"&amp;I$6&amp;","&amp;I$6&amp;",,,"""",""DATEJ""),""MM/YYYY"")")</f>
        <v>12/2016</v>
      </c>
      <c r="J7" s="47" t="str" cm="1">
        <f t="array" ref="J7">_xll.FDSRC("-",$A$1,"CONVERT_DATE(FF_FISCAL_DATE(ANN_R,"&amp;J$6&amp;","&amp;J$6&amp;",,,"""",""DATEJ""),""MM/YYYY"")")</f>
        <v>12/2017</v>
      </c>
      <c r="K7" s="47" t="str" cm="1">
        <f t="array" ref="K7">_xll.FDSRC("-",$A$1,"CONVERT_DATE(FF_FISCAL_DATE(ANN_R,"&amp;K$6&amp;","&amp;K$6&amp;",,,"""",""DATEJ""),""MM/YYYY"")")</f>
        <v>12/2018</v>
      </c>
      <c r="L7" s="47" t="str" cm="1">
        <f t="array" ref="L7">_xll.FDSRC("-",$A$1,"CONVERT_DATE(FF_FISCAL_DATE(ANN_R,"&amp;L$6&amp;","&amp;L$6&amp;",,,"""",""DATEJ""),""MM/YYYY"")")</f>
        <v>12/2019</v>
      </c>
      <c r="M7" s="47" t="str" cm="1">
        <f t="array" ref="M7">_xll.FDSRC("-",$A$1,"CONVERT_DATE(FF_FISCAL_DATE(ANN_R,"&amp;M$6&amp;","&amp;M$6&amp;",,,"""",""DATEJ""),""MM/YYYY"")")</f>
        <v>12/2020</v>
      </c>
      <c r="N7" s="47" t="str" cm="1">
        <f t="array" ref="N7">_xll.FDSRC("-",$A$1,"CONVERT_DATE(FF_FISCAL_DATE(ANN_R,"&amp;N$6&amp;","&amp;N$6&amp;",,,"""",""DATEJ""),""MM/YYYY"")")</f>
        <v>12/2021</v>
      </c>
      <c r="O7" s="47" t="str" cm="1">
        <f t="array" ref="O7">_xll.FDSRC("-",$A$1,"CONVERT_DATE(FF_FISCAL_DATE(ANN_R,"&amp;O$6&amp;","&amp;O$6&amp;",,,"""",""DATEJ""),""MM/YYYY"")")</f>
        <v>12/2022</v>
      </c>
      <c r="P7" s="33"/>
      <c r="Q7" s="33"/>
      <c r="R7" s="33"/>
      <c r="S7" s="33"/>
      <c r="T7" s="34"/>
    </row>
    <row r="9" spans="1:24" x14ac:dyDescent="0.15">
      <c r="A9" s="57" t="s">
        <v>172</v>
      </c>
    </row>
    <row r="10" spans="1:24" s="2" customFormat="1" x14ac:dyDescent="0.15">
      <c r="A10" s="35" t="s">
        <v>173</v>
      </c>
      <c r="P10"/>
      <c r="Q10"/>
      <c r="R10"/>
      <c r="S10"/>
      <c r="T10"/>
      <c r="U10" s="37"/>
      <c r="V10" s="37"/>
      <c r="W10" s="37"/>
      <c r="X10" s="38"/>
    </row>
    <row r="11" spans="1:24" x14ac:dyDescent="0.15">
      <c r="A11" s="2" t="s">
        <v>174</v>
      </c>
      <c r="B11" s="2" t="s">
        <v>175</v>
      </c>
      <c r="C11" s="2"/>
      <c r="D11" s="36"/>
      <c r="E11" s="48" cm="1">
        <f t="array" ref="E11">IFERROR(_xll.FDS($A$1,""&amp;$B11&amp;"("&amp;(CHOOSE($F$1,$Z$4,$AA$4))&amp;","&amp;E$7&amp;",,,,"&amp;$H$1&amp;")"),"")</f>
        <v>10515.4</v>
      </c>
      <c r="F11" s="48" cm="1">
        <f t="array" ref="F11">IFERROR(_xll.FDS($A$1,""&amp;$B11&amp;"("&amp;(CHOOSE($F$1,$Z$4,$AA$4))&amp;","&amp;F$7&amp;",,,,"&amp;$H$1&amp;")"),"")</f>
        <v>10353.799999999999</v>
      </c>
      <c r="G11" s="48" cm="1">
        <f t="array" ref="G11">IFERROR(_xll.FDS($A$1,""&amp;$B11&amp;"("&amp;(CHOOSE($F$1,$Z$4,$AA$4))&amp;","&amp;G$7&amp;",,,,"&amp;$H$1&amp;")"),"")</f>
        <v>10524.5</v>
      </c>
      <c r="H11" s="48" cm="1">
        <f t="array" ref="H11">IFERROR(_xll.FDS($A$1,""&amp;$B11&amp;"("&amp;(CHOOSE($F$1,$Z$4,$AA$4))&amp;","&amp;H$7&amp;",,,,"&amp;$H$1&amp;")"),"")</f>
        <v>10731.3</v>
      </c>
      <c r="I11" s="48" cm="1">
        <f t="array" ref="I11">IFERROR(_xll.FDS($A$1,""&amp;$B11&amp;"("&amp;(CHOOSE($F$1,$Z$4,$AA$4))&amp;","&amp;I$7&amp;",,,,"&amp;$H$1&amp;")"),"")</f>
        <v>11046.5</v>
      </c>
      <c r="J11" s="48" cm="1">
        <f t="array" ref="J11">IFERROR(_xll.FDS($A$1,""&amp;$B11&amp;"("&amp;(CHOOSE($F$1,$Z$4,$AA$4))&amp;","&amp;J$7&amp;",,,,"&amp;$H$1&amp;")"),"")</f>
        <v>11286.8</v>
      </c>
      <c r="K11" s="48" cm="1">
        <f t="array" ref="K11">IFERROR(_xll.FDS($A$1,""&amp;$B11&amp;"("&amp;(CHOOSE($F$1,$Z$4,$AA$4))&amp;","&amp;K$7&amp;",,,,"&amp;$H$1&amp;")"),"")</f>
        <v>11598.5</v>
      </c>
      <c r="L11" s="48" cm="1">
        <f t="array" ref="L11">IFERROR(_xll.FDS($A$1,""&amp;$B11&amp;"("&amp;(CHOOSE($F$1,$Z$4,$AA$4))&amp;","&amp;L$7&amp;",,,,"&amp;$H$1&amp;")"),"")</f>
        <v>11998.9</v>
      </c>
      <c r="M11" s="48" cm="1">
        <f t="array" ref="M11">IFERROR(_xll.FDS($A$1,""&amp;$B11&amp;"("&amp;(CHOOSE($F$1,$Z$4,$AA$4))&amp;","&amp;M$7&amp;",,,,"&amp;$H$1&amp;")"),"")</f>
        <v>13162.1</v>
      </c>
      <c r="N11" s="48" cm="1">
        <f t="array" ref="N11">IFERROR(_xll.FDS($A$1,""&amp;$B11&amp;"("&amp;(CHOOSE($F$1,$Z$4,$AA$4))&amp;","&amp;N$7&amp;",,,,"&amp;$H$1&amp;")"),"")</f>
        <v>12013.8</v>
      </c>
      <c r="O11" s="48" cm="1">
        <f t="array" ref="O11">IFERROR(_xll.FDS($A$1,""&amp;$B11&amp;"("&amp;(CHOOSE($F$1,$Z$4,$AA$4))&amp;","&amp;O$7&amp;",,,,"&amp;$H$1&amp;")"),"")</f>
        <v>11972.1</v>
      </c>
    </row>
    <row r="12" spans="1:24" x14ac:dyDescent="0.15">
      <c r="A12" s="2" t="s">
        <v>176</v>
      </c>
      <c r="B12" t="s">
        <v>177</v>
      </c>
      <c r="E12" s="48" t="str" cm="1">
        <f t="array" ref="E12">IFERROR(_xll.FDS($A$1,""&amp;$B12&amp;"("&amp;(CHOOSE($F$1,$Z$4,$AA$4))&amp;","&amp;E$7&amp;",,,,"&amp;$H$1&amp;")"),"")</f>
        <v/>
      </c>
      <c r="F12" s="48" t="str" cm="1">
        <f t="array" ref="F12">IFERROR(_xll.FDS($A$1,""&amp;$B12&amp;"("&amp;(CHOOSE($F$1,$Z$4,$AA$4))&amp;","&amp;F$7&amp;",,,,"&amp;$H$1&amp;")"),"")</f>
        <v/>
      </c>
      <c r="G12" s="48" t="str" cm="1">
        <f t="array" ref="G12">IFERROR(_xll.FDS($A$1,""&amp;$B12&amp;"("&amp;(CHOOSE($F$1,$Z$4,$AA$4))&amp;","&amp;G$7&amp;",,,,"&amp;$H$1&amp;")"),"")</f>
        <v/>
      </c>
      <c r="H12" s="48" t="str" cm="1">
        <f t="array" ref="H12">IFERROR(_xll.FDS($A$1,""&amp;$B12&amp;"("&amp;(CHOOSE($F$1,$Z$4,$AA$4))&amp;","&amp;H$7&amp;",,,,"&amp;$H$1&amp;")"),"")</f>
        <v/>
      </c>
      <c r="I12" s="48" t="str" cm="1">
        <f t="array" ref="I12">IFERROR(_xll.FDS($A$1,""&amp;$B12&amp;"("&amp;(CHOOSE($F$1,$Z$4,$AA$4))&amp;","&amp;I$7&amp;",,,,"&amp;$H$1&amp;")"),"")</f>
        <v/>
      </c>
      <c r="J12" s="48" t="str" cm="1">
        <f t="array" ref="J12">IFERROR(_xll.FDS($A$1,""&amp;$B12&amp;"("&amp;(CHOOSE($F$1,$Z$4,$AA$4))&amp;","&amp;J$7&amp;",,,,"&amp;$H$1&amp;")"),"")</f>
        <v/>
      </c>
      <c r="K12" s="48" t="str" cm="1">
        <f t="array" ref="K12">IFERROR(_xll.FDS($A$1,""&amp;$B12&amp;"("&amp;(CHOOSE($F$1,$Z$4,$AA$4))&amp;","&amp;K$7&amp;",,,,"&amp;$H$1&amp;")"),"")</f>
        <v/>
      </c>
      <c r="L12" s="48" t="str" cm="1">
        <f t="array" ref="L12">IFERROR(_xll.FDS($A$1,""&amp;$B12&amp;"("&amp;(CHOOSE($F$1,$Z$4,$AA$4))&amp;","&amp;L$7&amp;",,,,"&amp;$H$1&amp;")"),"")</f>
        <v/>
      </c>
      <c r="M12" s="48" t="str" cm="1">
        <f t="array" ref="M12">IFERROR(_xll.FDS($A$1,""&amp;$B12&amp;"("&amp;(CHOOSE($F$1,$Z$4,$AA$4))&amp;","&amp;M$7&amp;",,,,"&amp;$H$1&amp;")"),"")</f>
        <v/>
      </c>
      <c r="N12" s="48" t="str" cm="1">
        <f t="array" ref="N12">IFERROR(_xll.FDS($A$1,""&amp;$B12&amp;"("&amp;(CHOOSE($F$1,$Z$4,$AA$4))&amp;","&amp;N$7&amp;",,,,"&amp;$H$1&amp;")"),"")</f>
        <v/>
      </c>
      <c r="O12" s="48" t="str" cm="1">
        <f t="array" ref="O12">IFERROR(_xll.FDS($A$1,""&amp;$B12&amp;"("&amp;(CHOOSE($F$1,$Z$4,$AA$4))&amp;","&amp;O$7&amp;",,,,"&amp;$H$1&amp;")"),"")</f>
        <v/>
      </c>
    </row>
    <row r="13" spans="1:24" x14ac:dyDescent="0.15">
      <c r="A13" s="2" t="s">
        <v>178</v>
      </c>
      <c r="B13" t="s">
        <v>179</v>
      </c>
      <c r="E13" s="48" t="str" cm="1">
        <f t="array" ref="E13">IFERROR(_xll.FDS($A$1,""&amp;$B13&amp;"("&amp;(CHOOSE($F$1,$Z$4,$AA$4))&amp;","&amp;E$7&amp;",,,,"&amp;$H$1&amp;")"),"")</f>
        <v/>
      </c>
      <c r="F13" s="48" t="str" cm="1">
        <f t="array" ref="F13">IFERROR(_xll.FDS($A$1,""&amp;$B13&amp;"("&amp;(CHOOSE($F$1,$Z$4,$AA$4))&amp;","&amp;F$7&amp;",,,,"&amp;$H$1&amp;")"),"")</f>
        <v/>
      </c>
      <c r="G13" s="48" t="str" cm="1">
        <f t="array" ref="G13">IFERROR(_xll.FDS($A$1,""&amp;$B13&amp;"("&amp;(CHOOSE($F$1,$Z$4,$AA$4))&amp;","&amp;G$7&amp;",,,,"&amp;$H$1&amp;")"),"")</f>
        <v/>
      </c>
      <c r="H13" s="48" t="str" cm="1">
        <f t="array" ref="H13">IFERROR(_xll.FDS($A$1,""&amp;$B13&amp;"("&amp;(CHOOSE($F$1,$Z$4,$AA$4))&amp;","&amp;H$7&amp;",,,,"&amp;$H$1&amp;")"),"")</f>
        <v/>
      </c>
      <c r="I13" s="48" t="str" cm="1">
        <f t="array" ref="I13">IFERROR(_xll.FDS($A$1,""&amp;$B13&amp;"("&amp;(CHOOSE($F$1,$Z$4,$AA$4))&amp;","&amp;I$7&amp;",,,,"&amp;$H$1&amp;")"),"")</f>
        <v/>
      </c>
      <c r="J13" s="48" t="str" cm="1">
        <f t="array" ref="J13">IFERROR(_xll.FDS($A$1,""&amp;$B13&amp;"("&amp;(CHOOSE($F$1,$Z$4,$AA$4))&amp;","&amp;J$7&amp;",,,,"&amp;$H$1&amp;")"),"")</f>
        <v/>
      </c>
      <c r="K13" s="48" t="str" cm="1">
        <f t="array" ref="K13">IFERROR(_xll.FDS($A$1,""&amp;$B13&amp;"("&amp;(CHOOSE($F$1,$Z$4,$AA$4))&amp;","&amp;K$7&amp;",,,,"&amp;$H$1&amp;")"),"")</f>
        <v/>
      </c>
      <c r="L13" s="48" t="str" cm="1">
        <f t="array" ref="L13">IFERROR(_xll.FDS($A$1,""&amp;$B13&amp;"("&amp;(CHOOSE($F$1,$Z$4,$AA$4))&amp;","&amp;L$7&amp;",,,,"&amp;$H$1&amp;")"),"")</f>
        <v/>
      </c>
      <c r="M13" s="48" t="str" cm="1">
        <f t="array" ref="M13">IFERROR(_xll.FDS($A$1,""&amp;$B13&amp;"("&amp;(CHOOSE($F$1,$Z$4,$AA$4))&amp;","&amp;M$7&amp;",,,,"&amp;$H$1&amp;")"),"")</f>
        <v/>
      </c>
      <c r="N13" s="48" t="str" cm="1">
        <f t="array" ref="N13">IFERROR(_xll.FDS($A$1,""&amp;$B13&amp;"("&amp;(CHOOSE($F$1,$Z$4,$AA$4))&amp;","&amp;N$7&amp;",,,,"&amp;$H$1&amp;")"),"")</f>
        <v/>
      </c>
      <c r="O13" s="48" t="str" cm="1">
        <f t="array" ref="O13">IFERROR(_xll.FDS($A$1,""&amp;$B13&amp;"("&amp;(CHOOSE($F$1,$Z$4,$AA$4))&amp;","&amp;O$7&amp;",,,,"&amp;$H$1&amp;")"),"")</f>
        <v/>
      </c>
    </row>
    <row r="14" spans="1:24" x14ac:dyDescent="0.15">
      <c r="A14" s="2" t="s">
        <v>180</v>
      </c>
      <c r="B14" s="203"/>
    </row>
    <row r="15" spans="1:24" x14ac:dyDescent="0.15">
      <c r="A15" s="2" t="s">
        <v>82</v>
      </c>
      <c r="B15" t="s">
        <v>181</v>
      </c>
      <c r="E15" s="48" t="str" cm="1">
        <f t="array" ref="E15">IFERROR(_xll.FDS($A$1,""&amp;$B15&amp;"("&amp;(CHOOSE($F$1,$Z$4,$AA$4))&amp;","&amp;E$7&amp;",,,,"&amp;$H$1&amp;")"),"")</f>
        <v/>
      </c>
      <c r="F15" s="48" t="str" cm="1">
        <f t="array" ref="F15">IFERROR(_xll.FDS($A$1,""&amp;$B15&amp;"("&amp;(CHOOSE($F$1,$Z$4,$AA$4))&amp;","&amp;F$7&amp;",,,,"&amp;$H$1&amp;")"),"")</f>
        <v/>
      </c>
      <c r="G15" s="48" t="str" cm="1">
        <f t="array" ref="G15">IFERROR(_xll.FDS($A$1,""&amp;$B15&amp;"("&amp;(CHOOSE($F$1,$Z$4,$AA$4))&amp;","&amp;G$7&amp;",,,,"&amp;$H$1&amp;")"),"")</f>
        <v/>
      </c>
      <c r="H15" s="48" t="str" cm="1">
        <f t="array" ref="H15">IFERROR(_xll.FDS($A$1,""&amp;$B15&amp;"("&amp;(CHOOSE($F$1,$Z$4,$AA$4))&amp;","&amp;H$7&amp;",,,,"&amp;$H$1&amp;")"),"")</f>
        <v/>
      </c>
      <c r="I15" s="48" t="str" cm="1">
        <f t="array" ref="I15">IFERROR(_xll.FDS($A$1,""&amp;$B15&amp;"("&amp;(CHOOSE($F$1,$Z$4,$AA$4))&amp;","&amp;I$7&amp;",,,,"&amp;$H$1&amp;")"),"")</f>
        <v/>
      </c>
      <c r="J15" s="48" t="str" cm="1">
        <f t="array" ref="J15">IFERROR(_xll.FDS($A$1,""&amp;$B15&amp;"("&amp;(CHOOSE($F$1,$Z$4,$AA$4))&amp;","&amp;J$7&amp;",,,,"&amp;$H$1&amp;")"),"")</f>
        <v/>
      </c>
      <c r="K15" s="48" t="str" cm="1">
        <f t="array" ref="K15">IFERROR(_xll.FDS($A$1,""&amp;$B15&amp;"("&amp;(CHOOSE($F$1,$Z$4,$AA$4))&amp;","&amp;K$7&amp;",,,,"&amp;$H$1&amp;")"),"")</f>
        <v/>
      </c>
      <c r="L15" s="48" t="str" cm="1">
        <f t="array" ref="L15">IFERROR(_xll.FDS($A$1,""&amp;$B15&amp;"("&amp;(CHOOSE($F$1,$Z$4,$AA$4))&amp;","&amp;L$7&amp;",,,,"&amp;$H$1&amp;")"),"")</f>
        <v/>
      </c>
      <c r="M15" s="48" t="str" cm="1">
        <f t="array" ref="M15">IFERROR(_xll.FDS($A$1,""&amp;$B15&amp;"("&amp;(CHOOSE($F$1,$Z$4,$AA$4))&amp;","&amp;M$7&amp;",,,,"&amp;$H$1&amp;")"),"")</f>
        <v/>
      </c>
      <c r="N15" s="48" t="str" cm="1">
        <f t="array" ref="N15">IFERROR(_xll.FDS($A$1,""&amp;$B15&amp;"("&amp;(CHOOSE($F$1,$Z$4,$AA$4))&amp;","&amp;N$7&amp;",,,,"&amp;$H$1&amp;")"),"")</f>
        <v/>
      </c>
      <c r="O15" s="48" t="str" cm="1">
        <f t="array" ref="O15">IFERROR(_xll.FDS($A$1,""&amp;$B15&amp;"("&amp;(CHOOSE($F$1,$Z$4,$AA$4))&amp;","&amp;O$7&amp;",,,,"&amp;$H$1&amp;")"),"")</f>
        <v/>
      </c>
    </row>
    <row r="16" spans="1:24" x14ac:dyDescent="0.15">
      <c r="A16" s="2" t="s">
        <v>182</v>
      </c>
      <c r="B16" t="s">
        <v>183</v>
      </c>
      <c r="E16" s="48" cm="1">
        <f t="array" ref="E16">IFERROR(_xll.FDS($A$1,""&amp;$B16&amp;"("&amp;(CHOOSE($F$1,$Z$4,$AA$4))&amp;","&amp;E$7&amp;",,,,"&amp;$H$1&amp;")"),"")</f>
        <v>145.4</v>
      </c>
      <c r="F16" s="48" cm="1">
        <f t="array" ref="F16">IFERROR(_xll.FDS($A$1,""&amp;$B16&amp;"("&amp;(CHOOSE($F$1,$Z$4,$AA$4))&amp;","&amp;F$7&amp;",,,,"&amp;$H$1&amp;")"),"")</f>
        <v>149.4</v>
      </c>
      <c r="G16" s="48" cm="1">
        <f t="array" ref="G16">IFERROR(_xll.FDS($A$1,""&amp;$B16&amp;"("&amp;(CHOOSE($F$1,$Z$4,$AA$4))&amp;","&amp;G$7&amp;",,,,"&amp;$H$1&amp;")"),"")</f>
        <v>167.5</v>
      </c>
      <c r="H16" s="48" cm="1">
        <f t="array" ref="H16">IFERROR(_xll.FDS($A$1,""&amp;$B16&amp;"("&amp;(CHOOSE($F$1,$Z$4,$AA$4))&amp;","&amp;H$7&amp;",,,,"&amp;$H$1&amp;")"),"")</f>
        <v>152.80000000000001</v>
      </c>
      <c r="I16" s="48" cm="1">
        <f t="array" ref="I16">IFERROR(_xll.FDS($A$1,""&amp;$B16&amp;"("&amp;(CHOOSE($F$1,$Z$4,$AA$4))&amp;","&amp;I$7&amp;",,,,"&amp;$H$1&amp;")"),"")</f>
        <v>166</v>
      </c>
      <c r="J16" s="48" cm="1">
        <f t="array" ref="J16">IFERROR(_xll.FDS($A$1,""&amp;$B16&amp;"("&amp;(CHOOSE($F$1,$Z$4,$AA$4))&amp;","&amp;J$7&amp;",,,,"&amp;$H$1&amp;")"),"")</f>
        <v>159.9</v>
      </c>
      <c r="K16" s="48" cm="1">
        <f t="array" ref="K16">IFERROR(_xll.FDS($A$1,""&amp;$B16&amp;"("&amp;(CHOOSE($F$1,$Z$4,$AA$4))&amp;","&amp;K$7&amp;",,,,"&amp;$H$1&amp;")"),"")</f>
        <v>167.3</v>
      </c>
      <c r="L16" s="48" cm="1">
        <f t="array" ref="L16">IFERROR(_xll.FDS($A$1,""&amp;$B16&amp;"("&amp;(CHOOSE($F$1,$Z$4,$AA$4))&amp;","&amp;L$7&amp;",,,,"&amp;$H$1&amp;")"),"")</f>
        <v>177.4</v>
      </c>
      <c r="M16" s="48" cm="1">
        <f t="array" ref="M16">IFERROR(_xll.FDS($A$1,""&amp;$B16&amp;"("&amp;(CHOOSE($F$1,$Z$4,$AA$4))&amp;","&amp;M$7&amp;",,,,"&amp;$H$1&amp;")"),"")</f>
        <v>188.2</v>
      </c>
      <c r="N16" s="48" cm="1">
        <f t="array" ref="N16">IFERROR(_xll.FDS($A$1,""&amp;$B16&amp;"("&amp;(CHOOSE($F$1,$Z$4,$AA$4))&amp;","&amp;N$7&amp;",,,,"&amp;$H$1&amp;")"),"")</f>
        <v>185</v>
      </c>
      <c r="O16" s="48" cm="1">
        <f t="array" ref="O16">IFERROR(_xll.FDS($A$1,""&amp;$B16&amp;"("&amp;(CHOOSE($F$1,$Z$4,$AA$4))&amp;","&amp;O$7&amp;",,,,"&amp;$H$1&amp;")"),"")</f>
        <v>188.5</v>
      </c>
    </row>
    <row r="17" spans="1:15" x14ac:dyDescent="0.15">
      <c r="A17" s="40" t="s">
        <v>90</v>
      </c>
      <c r="B17" t="s">
        <v>184</v>
      </c>
      <c r="E17" s="48" cm="1">
        <f t="array" ref="E17">IFERROR(_xll.FDS($A$1,""&amp;$B17&amp;"("&amp;(CHOOSE($F$1,$Z$4,$AA$4))&amp;","&amp;E$7&amp;",,,,"&amp;$H$1&amp;")"),"")</f>
        <v>0</v>
      </c>
      <c r="F17" s="48" cm="1">
        <f t="array" ref="F17">IFERROR(_xll.FDS($A$1,""&amp;$B17&amp;"("&amp;(CHOOSE($F$1,$Z$4,$AA$4))&amp;","&amp;F$7&amp;",,,,"&amp;$H$1&amp;")"),"")</f>
        <v>0</v>
      </c>
      <c r="G17" s="48" cm="1">
        <f t="array" ref="G17">IFERROR(_xll.FDS($A$1,""&amp;$B17&amp;"("&amp;(CHOOSE($F$1,$Z$4,$AA$4))&amp;","&amp;G$7&amp;",,,,"&amp;$H$1&amp;")"),"")</f>
        <v>0</v>
      </c>
      <c r="H17" s="48" cm="1">
        <f t="array" ref="H17">IFERROR(_xll.FDS($A$1,""&amp;$B17&amp;"("&amp;(CHOOSE($F$1,$Z$4,$AA$4))&amp;","&amp;H$7&amp;",,,,"&amp;$H$1&amp;")"),"")</f>
        <v>0</v>
      </c>
      <c r="I17" s="48" cm="1">
        <f t="array" ref="I17">IFERROR(_xll.FDS($A$1,""&amp;$B17&amp;"("&amp;(CHOOSE($F$1,$Z$4,$AA$4))&amp;","&amp;I$7&amp;",,,,"&amp;$H$1&amp;")"),"")</f>
        <v>0</v>
      </c>
      <c r="J17" s="48" cm="1">
        <f t="array" ref="J17">IFERROR(_xll.FDS($A$1,""&amp;$B17&amp;"("&amp;(CHOOSE($F$1,$Z$4,$AA$4))&amp;","&amp;J$7&amp;",,,,"&amp;$H$1&amp;")"),"")</f>
        <v>0</v>
      </c>
      <c r="K17" s="48" cm="1">
        <f t="array" ref="K17">IFERROR(_xll.FDS($A$1,""&amp;$B17&amp;"("&amp;(CHOOSE($F$1,$Z$4,$AA$4))&amp;","&amp;K$7&amp;",,,,"&amp;$H$1&amp;")"),"")</f>
        <v>0</v>
      </c>
      <c r="L17" s="48" cm="1">
        <f t="array" ref="L17">IFERROR(_xll.FDS($A$1,""&amp;$B17&amp;"("&amp;(CHOOSE($F$1,$Z$4,$AA$4))&amp;","&amp;L$7&amp;",,,,"&amp;$H$1&amp;")"),"")</f>
        <v>0</v>
      </c>
      <c r="M17" s="48" cm="1">
        <f t="array" ref="M17">IFERROR(_xll.FDS($A$1,""&amp;$B17&amp;"("&amp;(CHOOSE($F$1,$Z$4,$AA$4))&amp;","&amp;M$7&amp;",,,,"&amp;$H$1&amp;")"),"")</f>
        <v>0</v>
      </c>
      <c r="N17" s="48" cm="1">
        <f t="array" ref="N17">IFERROR(_xll.FDS($A$1,""&amp;$B17&amp;"("&amp;(CHOOSE($F$1,$Z$4,$AA$4))&amp;","&amp;N$7&amp;",,,,"&amp;$H$1&amp;")"),"")</f>
        <v>0</v>
      </c>
      <c r="O17" s="48" cm="1">
        <f t="array" ref="O17">IFERROR(_xll.FDS($A$1,""&amp;$B17&amp;"("&amp;(CHOOSE($F$1,$Z$4,$AA$4))&amp;","&amp;O$7&amp;",,,,"&amp;$H$1&amp;")"),"")</f>
        <v>-72.2</v>
      </c>
    </row>
    <row r="18" spans="1:15" x14ac:dyDescent="0.15">
      <c r="A18" s="2" t="s">
        <v>91</v>
      </c>
      <c r="B18" t="s">
        <v>185</v>
      </c>
      <c r="E18" s="48" cm="1">
        <f t="array" ref="E18">IFERROR(_xll.FDS($A$1,""&amp;$B18&amp;"("&amp;(CHOOSE($F$1,$Z$4,$AA$4))&amp;","&amp;E$7&amp;",,,,"&amp;$H$1&amp;")"),"")</f>
        <v>0</v>
      </c>
      <c r="F18" s="48" cm="1">
        <f t="array" ref="F18">IFERROR(_xll.FDS($A$1,""&amp;$B18&amp;"("&amp;(CHOOSE($F$1,$Z$4,$AA$4))&amp;","&amp;F$7&amp;",,,,"&amp;$H$1&amp;")"),"")</f>
        <v>0</v>
      </c>
      <c r="G18" s="48" t="str" cm="1">
        <f t="array" ref="G18">IFERROR(_xll.FDS($A$1,""&amp;$B18&amp;"("&amp;(CHOOSE($F$1,$Z$4,$AA$4))&amp;","&amp;G$7&amp;",,,,"&amp;$H$1&amp;")"),"")</f>
        <v/>
      </c>
      <c r="H18" s="48" t="str" cm="1">
        <f t="array" ref="H18">IFERROR(_xll.FDS($A$1,""&amp;$B18&amp;"("&amp;(CHOOSE($F$1,$Z$4,$AA$4))&amp;","&amp;H$7&amp;",,,,"&amp;$H$1&amp;")"),"")</f>
        <v/>
      </c>
      <c r="I18" s="48" t="str" cm="1">
        <f t="array" ref="I18">IFERROR(_xll.FDS($A$1,""&amp;$B18&amp;"("&amp;(CHOOSE($F$1,$Z$4,$AA$4))&amp;","&amp;I$7&amp;",,,,"&amp;$H$1&amp;")"),"")</f>
        <v/>
      </c>
      <c r="J18" s="48" t="str" cm="1">
        <f t="array" ref="J18">IFERROR(_xll.FDS($A$1,""&amp;$B18&amp;"("&amp;(CHOOSE($F$1,$Z$4,$AA$4))&amp;","&amp;J$7&amp;",,,,"&amp;$H$1&amp;")"),"")</f>
        <v/>
      </c>
      <c r="K18" s="48" t="str" cm="1">
        <f t="array" ref="K18">IFERROR(_xll.FDS($A$1,""&amp;$B18&amp;"("&amp;(CHOOSE($F$1,$Z$4,$AA$4))&amp;","&amp;K$7&amp;",,,,"&amp;$H$1&amp;")"),"")</f>
        <v/>
      </c>
      <c r="L18" s="48" cm="1">
        <f t="array" ref="L18">IFERROR(_xll.FDS($A$1,""&amp;$B18&amp;"("&amp;(CHOOSE($F$1,$Z$4,$AA$4))&amp;","&amp;L$7&amp;",,,,"&amp;$H$1&amp;")"),"")</f>
        <v>27.3</v>
      </c>
      <c r="M18" s="48" cm="1">
        <f t="array" ref="M18">IFERROR(_xll.FDS($A$1,""&amp;$B18&amp;"("&amp;(CHOOSE($F$1,$Z$4,$AA$4))&amp;","&amp;M$7&amp;",,,,"&amp;$H$1&amp;")"),"")</f>
        <v>12.7</v>
      </c>
      <c r="N18" s="48" cm="1">
        <f t="array" ref="N18">IFERROR(_xll.FDS($A$1,""&amp;$B18&amp;"("&amp;(CHOOSE($F$1,$Z$4,$AA$4))&amp;","&amp;N$7&amp;",,,,"&amp;$H$1&amp;")"),"")</f>
        <v>93.3</v>
      </c>
      <c r="O18" s="48" cm="1">
        <f t="array" ref="O18">IFERROR(_xll.FDS($A$1,""&amp;$B18&amp;"("&amp;(CHOOSE($F$1,$Z$4,$AA$4))&amp;","&amp;O$7&amp;",,,,"&amp;$H$1&amp;")"),"")</f>
        <v>4.2</v>
      </c>
    </row>
    <row r="19" spans="1:15" x14ac:dyDescent="0.15">
      <c r="A19" s="2" t="s">
        <v>93</v>
      </c>
      <c r="B19" t="s">
        <v>186</v>
      </c>
      <c r="E19" s="48" cm="1">
        <f t="array" ref="E19">IFERROR(_xll.FDS($A$1,""&amp;$B19&amp;"("&amp;(CHOOSE($F$1,$Z$4,$AA$4))&amp;","&amp;E$7&amp;",,,,"&amp;$H$1&amp;")"),"")</f>
        <v>1249.5</v>
      </c>
      <c r="F19" s="48" cm="1">
        <f t="array" ref="F19">IFERROR(_xll.FDS($A$1,""&amp;$B19&amp;"("&amp;(CHOOSE($F$1,$Z$4,$AA$4))&amp;","&amp;F$7&amp;",,,,"&amp;$H$1&amp;")"),"")</f>
        <v>1205.2</v>
      </c>
      <c r="G19" s="48" cm="1">
        <f t="array" ref="G19">IFERROR(_xll.FDS($A$1,""&amp;$B19&amp;"("&amp;(CHOOSE($F$1,$Z$4,$AA$4))&amp;","&amp;G$7&amp;",,,,"&amp;$H$1&amp;")"),"")</f>
        <v>542</v>
      </c>
      <c r="H19" s="48" cm="1">
        <f t="array" ref="H19">IFERROR(_xll.FDS($A$1,""&amp;$B19&amp;"("&amp;(CHOOSE($F$1,$Z$4,$AA$4))&amp;","&amp;H$7&amp;",,,,"&amp;$H$1&amp;")"),"")</f>
        <v>1238.3</v>
      </c>
      <c r="I19" s="48" cm="1">
        <f t="array" ref="I19">IFERROR(_xll.FDS($A$1,""&amp;$B19&amp;"("&amp;(CHOOSE($F$1,$Z$4,$AA$4))&amp;","&amp;I$7&amp;",,,,"&amp;$H$1&amp;")"),"")</f>
        <v>1347.7</v>
      </c>
      <c r="J19" s="48" cm="1">
        <f t="array" ref="J19">IFERROR(_xll.FDS($A$1,""&amp;$B19&amp;"("&amp;(CHOOSE($F$1,$Z$4,$AA$4))&amp;","&amp;J$7&amp;",,,,"&amp;$H$1&amp;")"),"")</f>
        <v>1404</v>
      </c>
      <c r="K19" s="48" cm="1">
        <f t="array" ref="K19">IFERROR(_xll.FDS($A$1,""&amp;$B19&amp;"("&amp;(CHOOSE($F$1,$Z$4,$AA$4))&amp;","&amp;K$7&amp;",,,,"&amp;$H$1&amp;")"),"")</f>
        <v>627.79999999999995</v>
      </c>
      <c r="L19" s="48" cm="1">
        <f t="array" ref="L19">IFERROR(_xll.FDS($A$1,""&amp;$B19&amp;"("&amp;(CHOOSE($F$1,$Z$4,$AA$4))&amp;","&amp;L$7&amp;",,,,"&amp;$H$1&amp;")"),"")</f>
        <v>1382.1</v>
      </c>
      <c r="M19" s="48" cm="1">
        <f t="array" ref="M19">IFERROR(_xll.FDS($A$1,""&amp;$B19&amp;"("&amp;(CHOOSE($F$1,$Z$4,$AA$4))&amp;","&amp;M$7&amp;",,,,"&amp;$H$1&amp;")"),"")</f>
        <v>964</v>
      </c>
      <c r="N19" s="48" cm="1">
        <f t="array" ref="N19">IFERROR(_xll.FDS($A$1,""&amp;$B19&amp;"("&amp;(CHOOSE($F$1,$Z$4,$AA$4))&amp;","&amp;N$7&amp;",,,,"&amp;$H$1&amp;")"),"")</f>
        <v>1063</v>
      </c>
      <c r="O19" s="48" cm="1">
        <f t="array" ref="O19">IFERROR(_xll.FDS($A$1,""&amp;$B19&amp;"("&amp;(CHOOSE($F$1,$Z$4,$AA$4))&amp;","&amp;O$7&amp;",,,,"&amp;$H$1&amp;")"),"")</f>
        <v>1631.4</v>
      </c>
    </row>
    <row r="20" spans="1:15" x14ac:dyDescent="0.15">
      <c r="A20" s="2" t="s">
        <v>187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</row>
    <row r="21" spans="1:15" x14ac:dyDescent="0.15">
      <c r="A21" s="39" t="s">
        <v>95</v>
      </c>
      <c r="B21" t="s">
        <v>188</v>
      </c>
      <c r="E21" s="48" cm="1">
        <f t="array" ref="E21">IFERROR(_xll.FDS($A$1,""&amp;$B21&amp;"("&amp;(CHOOSE($F$1,$Z$4,$AA$4))&amp;","&amp;E$7&amp;",,,,"&amp;$H$1&amp;")"),"")</f>
        <v>355.1</v>
      </c>
      <c r="F21" s="48" cm="1">
        <f t="array" ref="F21">IFERROR(_xll.FDS($A$1,""&amp;$B21&amp;"("&amp;(CHOOSE($F$1,$Z$4,$AA$4))&amp;","&amp;F$7&amp;",,,,"&amp;$H$1&amp;")"),"")</f>
        <v>347.1</v>
      </c>
      <c r="G21" s="48" cm="1">
        <f t="array" ref="G21">IFERROR(_xll.FDS($A$1,""&amp;$B21&amp;"("&amp;(CHOOSE($F$1,$Z$4,$AA$4))&amp;","&amp;G$7&amp;",,,,"&amp;$H$1&amp;")"),"")</f>
        <v>139.9</v>
      </c>
      <c r="H21" s="48" cm="1">
        <f t="array" ref="H21">IFERROR(_xll.FDS($A$1,""&amp;$B21&amp;"("&amp;(CHOOSE($F$1,$Z$4,$AA$4))&amp;","&amp;H$7&amp;",,,,"&amp;$H$1&amp;")"),"")</f>
        <v>371.2</v>
      </c>
      <c r="I21" s="48" cm="1">
        <f t="array" ref="I21">IFERROR(_xll.FDS($A$1,""&amp;$B21&amp;"("&amp;(CHOOSE($F$1,$Z$4,$AA$4))&amp;","&amp;I$7&amp;",,,,"&amp;$H$1&amp;")"),"")</f>
        <v>416.3</v>
      </c>
      <c r="J21" s="48" cm="1">
        <f t="array" ref="J21">IFERROR(_xll.FDS($A$1,""&amp;$B21&amp;"("&amp;(CHOOSE($F$1,$Z$4,$AA$4))&amp;","&amp;J$7&amp;",,,,"&amp;$H$1&amp;")"),"")</f>
        <v>409.8</v>
      </c>
      <c r="K21" s="48" cm="1">
        <f t="array" ref="K21">IFERROR(_xll.FDS($A$1,""&amp;$B21&amp;"("&amp;(CHOOSE($F$1,$Z$4,$AA$4))&amp;","&amp;K$7&amp;",,,,"&amp;$H$1&amp;")"),"")</f>
        <v>104.4</v>
      </c>
      <c r="L21" s="48" cm="1">
        <f t="array" ref="L21">IFERROR(_xll.FDS($A$1,""&amp;$B21&amp;"("&amp;(CHOOSE($F$1,$Z$4,$AA$4))&amp;","&amp;L$7&amp;",,,,"&amp;$H$1&amp;")"),"")</f>
        <v>281.8</v>
      </c>
      <c r="M21" s="48" cm="1">
        <f t="array" ref="M21">IFERROR(_xll.FDS($A$1,""&amp;$B21&amp;"("&amp;(CHOOSE($F$1,$Z$4,$AA$4))&amp;","&amp;M$7&amp;",,,,"&amp;$H$1&amp;")"),"")</f>
        <v>171</v>
      </c>
      <c r="N21" s="48" cm="1">
        <f t="array" ref="N21">IFERROR(_xll.FDS($A$1,""&amp;$B21&amp;"("&amp;(CHOOSE($F$1,$Z$4,$AA$4))&amp;","&amp;N$7&amp;",,,,"&amp;$H$1&amp;")"),"")</f>
        <v>238.8</v>
      </c>
      <c r="O21" s="48" cm="1">
        <f t="array" ref="O21">IFERROR(_xll.FDS($A$1,""&amp;$B21&amp;"("&amp;(CHOOSE($F$1,$Z$4,$AA$4))&amp;","&amp;O$7&amp;",,,,"&amp;$H$1&amp;")"),"")</f>
        <v>317.2</v>
      </c>
    </row>
    <row r="22" spans="1:15" x14ac:dyDescent="0.15">
      <c r="A22" s="41" t="s">
        <v>99</v>
      </c>
      <c r="B22" t="s">
        <v>189</v>
      </c>
      <c r="E22" s="49" cm="1">
        <f t="array" ref="E22">IFERROR(_xll.FDS($A$1,""&amp;$B22&amp;"("&amp;(CHOOSE($F$1,$Z$4,#REF!))&amp;","&amp;E$7&amp;",,,,"&amp;$H$1&amp;")"),"")</f>
        <v>894.4</v>
      </c>
      <c r="F22" s="49" cm="1">
        <f t="array" ref="F22">IFERROR(_xll.FDS($A$1,""&amp;$B22&amp;"("&amp;(CHOOSE($F$1,$Z$4,#REF!))&amp;","&amp;F$7&amp;",,,,"&amp;$H$1&amp;")"),"")</f>
        <v>858.1</v>
      </c>
      <c r="G22" s="49" cm="1">
        <f t="array" ref="G22">IFERROR(_xll.FDS($A$1,""&amp;$B22&amp;"("&amp;(CHOOSE($F$1,$Z$4,#REF!))&amp;","&amp;G$7&amp;",,,,"&amp;$H$1&amp;")"),"")</f>
        <v>402.1</v>
      </c>
      <c r="H22" s="49" cm="1">
        <f t="array" ref="H22">IFERROR(_xll.FDS($A$1,""&amp;$B22&amp;"("&amp;(CHOOSE($F$1,$Z$4,#REF!))&amp;","&amp;H$7&amp;",,,,"&amp;$H$1&amp;")"),"")</f>
        <v>867.1</v>
      </c>
      <c r="I22" s="49" cm="1">
        <f t="array" ref="I22">IFERROR(_xll.FDS($A$1,""&amp;$B22&amp;"("&amp;(CHOOSE($F$1,$Z$4,#REF!))&amp;","&amp;I$7&amp;",,,,"&amp;$H$1&amp;")"),"")</f>
        <v>931.4</v>
      </c>
      <c r="J22" s="49" cm="1">
        <f t="array" ref="J22">IFERROR(_xll.FDS($A$1,""&amp;$B22&amp;"("&amp;(CHOOSE($F$1,$Z$4,#REF!))&amp;","&amp;J$7&amp;",,,,"&amp;$H$1&amp;")"),"")</f>
        <v>994.2</v>
      </c>
      <c r="K22" s="49" cm="1">
        <f t="array" ref="K22">IFERROR(_xll.FDS($A$1,""&amp;$B22&amp;"("&amp;(CHOOSE($F$1,$Z$4,#REF!))&amp;","&amp;K$7&amp;",,,,"&amp;$H$1&amp;")"),"")</f>
        <v>523.4</v>
      </c>
      <c r="L22" s="49" cm="1">
        <f t="array" ref="L22">IFERROR(_xll.FDS($A$1,""&amp;$B22&amp;"("&amp;(CHOOSE($F$1,$Z$4,#REF!))&amp;","&amp;L$7&amp;",,,,"&amp;$H$1&amp;")"),"")</f>
        <v>1100.3</v>
      </c>
      <c r="M22" s="49" cm="1">
        <f t="array" ref="M22">IFERROR(_xll.FDS($A$1,""&amp;$B22&amp;"("&amp;(CHOOSE($F$1,$Z$4,#REF!))&amp;","&amp;M$7&amp;",,,,"&amp;$H$1&amp;")"),"")</f>
        <v>793</v>
      </c>
      <c r="N22" s="49" cm="1">
        <f t="array" ref="N22">IFERROR(_xll.FDS($A$1,""&amp;$B22&amp;"("&amp;(CHOOSE($F$1,$Z$4,#REF!))&amp;","&amp;N$7&amp;",,,,"&amp;$H$1&amp;")"),"")</f>
        <v>824.2</v>
      </c>
      <c r="O22" s="49" cm="1">
        <f t="array" ref="O22">IFERROR(_xll.FDS($A$1,""&amp;$B22&amp;"("&amp;(CHOOSE($F$1,$Z$4,#REF!))&amp;","&amp;O$7&amp;",,,,"&amp;$H$1&amp;")"),"")</f>
        <v>1314.2</v>
      </c>
    </row>
    <row r="23" spans="1:15" x14ac:dyDescent="0.15">
      <c r="A23" s="41"/>
    </row>
    <row r="24" spans="1:15" x14ac:dyDescent="0.15">
      <c r="A24" s="42" t="s">
        <v>105</v>
      </c>
      <c r="B24" t="s">
        <v>190</v>
      </c>
      <c r="E24" s="50" cm="1">
        <f t="array" ref="E24">IFERROR(_xll.FDS($A$1,""&amp;$B24&amp;"("&amp;(CHOOSE($F$1,$Z$4,#REF!))&amp;","&amp;E$7&amp;",,,,"&amp;$H$1&amp;")"),"")</f>
        <v>281.7568</v>
      </c>
      <c r="F24" s="50" cm="1">
        <f t="array" ref="F24">IFERROR(_xll.FDS($A$1,""&amp;$B24&amp;"("&amp;(CHOOSE($F$1,$Z$4,#REF!))&amp;","&amp;F$7&amp;",,,,"&amp;$H$1&amp;")"),"")</f>
        <v>265.94920000000002</v>
      </c>
      <c r="G24" s="50" cm="1">
        <f t="array" ref="G24">IFERROR(_xll.FDS($A$1,""&amp;$B24&amp;"("&amp;(CHOOSE($F$1,$Z$4,#REF!))&amp;","&amp;G$7&amp;",,,,"&amp;$H$1&amp;")"),"")</f>
        <v>256.65280000000001</v>
      </c>
      <c r="H24" s="50" cm="1">
        <f t="array" ref="H24">IFERROR(_xll.FDS($A$1,""&amp;$B24&amp;"("&amp;(CHOOSE($F$1,$Z$4,#REF!))&amp;","&amp;H$7&amp;",,,,"&amp;$H$1&amp;")"),"")</f>
        <v>247.85470000000001</v>
      </c>
      <c r="I24" s="50" cm="1">
        <f t="array" ref="I24">IFERROR(_xll.FDS($A$1,""&amp;$B24&amp;"("&amp;(CHOOSE($F$1,$Z$4,#REF!))&amp;","&amp;I$7&amp;",,,,"&amp;$H$1&amp;")"),"")</f>
        <v>235.97919999999999</v>
      </c>
      <c r="J24" s="50" cm="1">
        <f t="array" ref="J24">IFERROR(_xll.FDS($A$1,""&amp;$B24&amp;"("&amp;(CHOOSE($F$1,$Z$4,#REF!))&amp;","&amp;J$7&amp;",,,,"&amp;$H$1&amp;")"),"")</f>
        <v>227.33519999999999</v>
      </c>
      <c r="K24" s="50" cm="1">
        <f t="array" ref="K24">IFERROR(_xll.FDS($A$1,""&amp;$B24&amp;"("&amp;(CHOOSE($F$1,$Z$4,#REF!))&amp;","&amp;K$7&amp;",,,,"&amp;$H$1&amp;")"),"")</f>
        <v>220.05860000000001</v>
      </c>
      <c r="L24" s="50" cm="1">
        <f t="array" ref="L24">IFERROR(_xll.FDS($A$1,""&amp;$B24&amp;"("&amp;(CHOOSE($F$1,$Z$4,#REF!))&amp;","&amp;L$7&amp;",,,,"&amp;$H$1&amp;")"),"")</f>
        <v>209.8544</v>
      </c>
      <c r="M24" s="50" cm="1">
        <f t="array" ref="M24">IFERROR(_xll.FDS($A$1,""&amp;$B24&amp;"("&amp;(CHOOSE($F$1,$Z$4,#REF!))&amp;","&amp;M$7&amp;",,,,"&amp;$H$1&amp;")"),"")</f>
        <v>203.75530000000001</v>
      </c>
      <c r="N24" s="50" cm="1">
        <f t="array" ref="N24">IFERROR(_xll.FDS($A$1,""&amp;$B24&amp;"("&amp;(CHOOSE($F$1,$Z$4,#REF!))&amp;","&amp;N$7&amp;",,,,"&amp;$H$1&amp;")"),"")</f>
        <v>204.84790000000001</v>
      </c>
      <c r="O24" s="50" cm="1">
        <f t="array" ref="O24">IFERROR(_xll.FDS($A$1,""&amp;$B24&amp;"("&amp;(CHOOSE($F$1,$Z$4,#REF!))&amp;","&amp;O$7&amp;",,,,"&amp;$H$1&amp;")"),"")</f>
        <v>202.10939999999999</v>
      </c>
    </row>
    <row r="25" spans="1:15" x14ac:dyDescent="0.15">
      <c r="A25" s="43" t="s">
        <v>106</v>
      </c>
      <c r="B25" t="s">
        <v>191</v>
      </c>
      <c r="E25" s="51" cm="1">
        <f t="array" ref="E25">IFERROR(_xll.FDS($A$1,""&amp;$B25&amp;"("&amp;(CHOOSE($F$1,$Z$4,#REF!))&amp;","&amp;E$7&amp;",,,,"&amp;$H$1&amp;")"),"")</f>
        <v>3.1743999999999999</v>
      </c>
      <c r="F25" s="51" cm="1">
        <f t="array" ref="F25">IFERROR(_xll.FDS($A$1,""&amp;$B25&amp;"("&amp;(CHOOSE($F$1,$Z$4,#REF!))&amp;","&amp;F$7&amp;",,,,"&amp;$H$1&amp;")"),"")</f>
        <v>3.2265999999999999</v>
      </c>
      <c r="G25" s="51" cm="1">
        <f t="array" ref="G25">IFERROR(_xll.FDS($A$1,""&amp;$B25&amp;"("&amp;(CHOOSE($F$1,$Z$4,#REF!))&amp;","&amp;G$7&amp;",,,,"&amp;$H$1&amp;")"),"")</f>
        <v>1.5667</v>
      </c>
      <c r="H25" s="51" cm="1">
        <f t="array" ref="H25">IFERROR(_xll.FDS($A$1,""&amp;$B25&amp;"("&amp;(CHOOSE($F$1,$Z$4,#REF!))&amp;","&amp;H$7&amp;",,,,"&amp;$H$1&amp;")"),"")</f>
        <v>3.4984000000000002</v>
      </c>
      <c r="I25" s="51" cm="1">
        <f t="array" ref="I25">IFERROR(_xll.FDS($A$1,""&amp;$B25&amp;"("&amp;(CHOOSE($F$1,$Z$4,#REF!))&amp;","&amp;I$7&amp;",,,,"&amp;$H$1&amp;")"),"")</f>
        <v>3.9470000000000001</v>
      </c>
      <c r="J25" s="51" cm="1">
        <f t="array" ref="J25">IFERROR(_xll.FDS($A$1,""&amp;$B25&amp;"("&amp;(CHOOSE($F$1,$Z$4,#REF!))&amp;","&amp;J$7&amp;",,,,"&amp;$H$1&amp;")"),"")</f>
        <v>4.3733000000000004</v>
      </c>
      <c r="K25" s="51" cm="1">
        <f t="array" ref="K25">IFERROR(_xll.FDS($A$1,""&amp;$B25&amp;"("&amp;(CHOOSE($F$1,$Z$4,#REF!))&amp;","&amp;K$7&amp;",,,,"&amp;$H$1&amp;")"),"")</f>
        <v>2.3784999999999998</v>
      </c>
      <c r="L25" s="51" cm="1">
        <f t="array" ref="L25">IFERROR(_xll.FDS($A$1,""&amp;$B25&amp;"("&amp;(CHOOSE($F$1,$Z$4,#REF!))&amp;","&amp;L$7&amp;",,,,"&amp;$H$1&amp;")"),"")</f>
        <v>5.2431999999999999</v>
      </c>
      <c r="M25" s="51" cm="1">
        <f t="array" ref="M25">IFERROR(_xll.FDS($A$1,""&amp;$B25&amp;"("&amp;(CHOOSE($F$1,$Z$4,#REF!))&amp;","&amp;M$7&amp;",,,,"&amp;$H$1&amp;")"),"")</f>
        <v>3.8919000000000001</v>
      </c>
      <c r="N25" s="51" cm="1">
        <f t="array" ref="N25">IFERROR(_xll.FDS($A$1,""&amp;$B25&amp;"("&amp;(CHOOSE($F$1,$Z$4,#REF!))&amp;","&amp;N$7&amp;",,,,"&amp;$H$1&amp;")"),"")</f>
        <v>4.0235000000000003</v>
      </c>
      <c r="O25" s="51" cm="1">
        <f t="array" ref="O25">IFERROR(_xll.FDS($A$1,""&amp;$B25&amp;"("&amp;(CHOOSE($F$1,$Z$4,#REF!))&amp;","&amp;O$7&amp;",,,,"&amp;$H$1&amp;")"),"")</f>
        <v>6.5023999999999997</v>
      </c>
    </row>
    <row r="26" spans="1:15" x14ac:dyDescent="0.15">
      <c r="A26" s="43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</row>
    <row r="27" spans="1:15" x14ac:dyDescent="0.15">
      <c r="A27" s="35" t="s">
        <v>192</v>
      </c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</row>
    <row r="28" spans="1:15" x14ac:dyDescent="0.15">
      <c r="A28" s="44" t="s">
        <v>108</v>
      </c>
      <c r="B28" t="s">
        <v>193</v>
      </c>
      <c r="E28" s="48" t="str" cm="1">
        <f t="array" ref="E28">IFERROR(_xll.FDS($A$1,""&amp;$B28&amp;"("&amp;(CHOOSE($F$1,$Z$4,$AA$4))&amp;","&amp;E$7&amp;",,,,"&amp;$H$1&amp;")"),"")</f>
        <v/>
      </c>
      <c r="F28" s="48" t="str" cm="1">
        <f t="array" ref="F28">IFERROR(_xll.FDS($A$1,""&amp;$B28&amp;"("&amp;(CHOOSE($F$1,$Z$4,$AA$4))&amp;","&amp;F$7&amp;",,,,"&amp;$H$1&amp;")"),"")</f>
        <v/>
      </c>
      <c r="G28" s="48" t="str" cm="1">
        <f t="array" ref="G28">IFERROR(_xll.FDS($A$1,""&amp;$B28&amp;"("&amp;(CHOOSE($F$1,$Z$4,$AA$4))&amp;","&amp;G$7&amp;",,,,"&amp;$H$1&amp;")"),"")</f>
        <v/>
      </c>
      <c r="H28" s="48" t="str" cm="1">
        <f t="array" ref="H28">IFERROR(_xll.FDS($A$1,""&amp;$B28&amp;"("&amp;(CHOOSE($F$1,$Z$4,$AA$4))&amp;","&amp;H$7&amp;",,,,"&amp;$H$1&amp;")"),"")</f>
        <v/>
      </c>
      <c r="I28" s="48" t="str" cm="1">
        <f t="array" ref="I28">IFERROR(_xll.FDS($A$1,""&amp;$B28&amp;"("&amp;(CHOOSE($F$1,$Z$4,$AA$4))&amp;","&amp;I$7&amp;",,,,"&amp;$H$1&amp;")"),"")</f>
        <v/>
      </c>
      <c r="J28" s="48" t="str" cm="1">
        <f t="array" ref="J28">IFERROR(_xll.FDS($A$1,""&amp;$B28&amp;"("&amp;(CHOOSE($F$1,$Z$4,$AA$4))&amp;","&amp;J$7&amp;",,,,"&amp;$H$1&amp;")"),"")</f>
        <v/>
      </c>
      <c r="K28" s="48" t="str" cm="1">
        <f t="array" ref="K28">IFERROR(_xll.FDS($A$1,""&amp;$B28&amp;"("&amp;(CHOOSE($F$1,$Z$4,$AA$4))&amp;","&amp;K$7&amp;",,,,"&amp;$H$1&amp;")"),"")</f>
        <v/>
      </c>
      <c r="L28" s="48" t="str" cm="1">
        <f t="array" ref="L28">IFERROR(_xll.FDS($A$1,""&amp;$B28&amp;"("&amp;(CHOOSE($F$1,$Z$4,$AA$4))&amp;","&amp;L$7&amp;",,,,"&amp;$H$1&amp;")"),"")</f>
        <v/>
      </c>
      <c r="M28" s="48" t="str" cm="1">
        <f t="array" ref="M28">IFERROR(_xll.FDS($A$1,""&amp;$B28&amp;"("&amp;(CHOOSE($F$1,$Z$4,$AA$4))&amp;","&amp;M$7&amp;",,,,"&amp;$H$1&amp;")"),"")</f>
        <v/>
      </c>
      <c r="N28" s="48" t="str" cm="1">
        <f t="array" ref="N28">IFERROR(_xll.FDS($A$1,""&amp;$B28&amp;"("&amp;(CHOOSE($F$1,$Z$4,$AA$4))&amp;","&amp;N$7&amp;",,,,"&amp;$H$1&amp;")"),"")</f>
        <v/>
      </c>
      <c r="O28" s="48" t="str" cm="1">
        <f t="array" ref="O28">IFERROR(_xll.FDS($A$1,""&amp;$B28&amp;"("&amp;(CHOOSE($F$1,$Z$4,$AA$4))&amp;","&amp;O$7&amp;",,,,"&amp;$H$1&amp;")"),"")</f>
        <v/>
      </c>
    </row>
    <row r="29" spans="1:15" x14ac:dyDescent="0.15">
      <c r="A29" s="44" t="s">
        <v>109</v>
      </c>
      <c r="B29" t="s">
        <v>194</v>
      </c>
      <c r="E29" s="48" t="str" cm="1">
        <f t="array" ref="E29">IFERROR(_xll.FDS($A$1,""&amp;$B29&amp;"("&amp;(CHOOSE($F$1,$Z$4,$AA$4))&amp;","&amp;E$7&amp;",,,,"&amp;$H$1&amp;")"),"")</f>
        <v/>
      </c>
      <c r="F29" s="48" t="str" cm="1">
        <f t="array" ref="F29">IFERROR(_xll.FDS($A$1,""&amp;$B29&amp;"("&amp;(CHOOSE($F$1,$Z$4,$AA$4))&amp;","&amp;F$7&amp;",,,,"&amp;$H$1&amp;")"),"")</f>
        <v/>
      </c>
      <c r="G29" s="48" t="str" cm="1">
        <f t="array" ref="G29">IFERROR(_xll.FDS($A$1,""&amp;$B29&amp;"("&amp;(CHOOSE($F$1,$Z$4,$AA$4))&amp;","&amp;G$7&amp;",,,,"&amp;$H$1&amp;")"),"")</f>
        <v/>
      </c>
      <c r="H29" s="48" t="str" cm="1">
        <f t="array" ref="H29">IFERROR(_xll.FDS($A$1,""&amp;$B29&amp;"("&amp;(CHOOSE($F$1,$Z$4,$AA$4))&amp;","&amp;H$7&amp;",,,,"&amp;$H$1&amp;")"),"")</f>
        <v/>
      </c>
      <c r="I29" s="48" t="str" cm="1">
        <f t="array" ref="I29">IFERROR(_xll.FDS($A$1,""&amp;$B29&amp;"("&amp;(CHOOSE($F$1,$Z$4,$AA$4))&amp;","&amp;I$7&amp;",,,,"&amp;$H$1&amp;")"),"")</f>
        <v/>
      </c>
      <c r="J29" s="48" t="str" cm="1">
        <f t="array" ref="J29">IFERROR(_xll.FDS($A$1,""&amp;$B29&amp;"("&amp;(CHOOSE($F$1,$Z$4,$AA$4))&amp;","&amp;J$7&amp;",,,,"&amp;$H$1&amp;")"),"")</f>
        <v/>
      </c>
      <c r="K29" s="48" t="str" cm="1">
        <f t="array" ref="K29">IFERROR(_xll.FDS($A$1,""&amp;$B29&amp;"("&amp;(CHOOSE($F$1,$Z$4,$AA$4))&amp;","&amp;K$7&amp;",,,,"&amp;$H$1&amp;")"),"")</f>
        <v/>
      </c>
      <c r="L29" s="48" t="str" cm="1">
        <f t="array" ref="L29">IFERROR(_xll.FDS($A$1,""&amp;$B29&amp;"("&amp;(CHOOSE($F$1,$Z$4,$AA$4))&amp;","&amp;L$7&amp;",,,,"&amp;$H$1&amp;")"),"")</f>
        <v/>
      </c>
      <c r="M29" s="48" t="str" cm="1">
        <f t="array" ref="M29">IFERROR(_xll.FDS($A$1,""&amp;$B29&amp;"("&amp;(CHOOSE($F$1,$Z$4,$AA$4))&amp;","&amp;M$7&amp;",,,,"&amp;$H$1&amp;")"),"")</f>
        <v/>
      </c>
      <c r="N29" s="48" t="str" cm="1">
        <f t="array" ref="N29">IFERROR(_xll.FDS($A$1,""&amp;$B29&amp;"("&amp;(CHOOSE($F$1,$Z$4,$AA$4))&amp;","&amp;N$7&amp;",,,,"&amp;$H$1&amp;")"),"")</f>
        <v/>
      </c>
      <c r="O29" s="48" t="str" cm="1">
        <f t="array" ref="O29">IFERROR(_xll.FDS($A$1,""&amp;$B29&amp;"("&amp;(CHOOSE($F$1,$Z$4,$AA$4))&amp;","&amp;O$7&amp;",,,,"&amp;$H$1&amp;")"),"")</f>
        <v/>
      </c>
    </row>
    <row r="30" spans="1:15" x14ac:dyDescent="0.15">
      <c r="A30" s="44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</row>
    <row r="31" spans="1:15" x14ac:dyDescent="0.15">
      <c r="A31" s="44" t="s">
        <v>111</v>
      </c>
      <c r="B31" t="s">
        <v>195</v>
      </c>
      <c r="E31" s="48" t="str" cm="1">
        <f t="array" ref="E31">IFERROR(_xll.FDS($A$1,""&amp;$B31&amp;"("&amp;(CHOOSE($F$1,$Z$4,$AA$4))&amp;","&amp;E$7&amp;",,,,"&amp;$H$1&amp;")"),"")</f>
        <v/>
      </c>
      <c r="F31" s="48" t="str" cm="1">
        <f t="array" ref="F31">IFERROR(_xll.FDS($A$1,""&amp;$B31&amp;"("&amp;(CHOOSE($F$1,$Z$4,$AA$4))&amp;","&amp;F$7&amp;",,,,"&amp;$H$1&amp;")"),"")</f>
        <v/>
      </c>
      <c r="G31" s="48" t="str" cm="1">
        <f t="array" ref="G31">IFERROR(_xll.FDS($A$1,""&amp;$B31&amp;"("&amp;(CHOOSE($F$1,$Z$4,$AA$4))&amp;","&amp;G$7&amp;",,,,"&amp;$H$1&amp;")"),"")</f>
        <v/>
      </c>
      <c r="H31" s="48" t="str" cm="1">
        <f t="array" ref="H31">IFERROR(_xll.FDS($A$1,""&amp;$B31&amp;"("&amp;(CHOOSE($F$1,$Z$4,$AA$4))&amp;","&amp;H$7&amp;",,,,"&amp;$H$1&amp;")"),"")</f>
        <v/>
      </c>
      <c r="I31" s="48" t="str" cm="1">
        <f t="array" ref="I31">IFERROR(_xll.FDS($A$1,""&amp;$B31&amp;"("&amp;(CHOOSE($F$1,$Z$4,$AA$4))&amp;","&amp;I$7&amp;",,,,"&amp;$H$1&amp;")"),"")</f>
        <v/>
      </c>
      <c r="J31" s="48" t="str" cm="1">
        <f t="array" ref="J31">IFERROR(_xll.FDS($A$1,""&amp;$B31&amp;"("&amp;(CHOOSE($F$1,$Z$4,$AA$4))&amp;","&amp;J$7&amp;",,,,"&amp;$H$1&amp;")"),"")</f>
        <v/>
      </c>
      <c r="K31" s="48" t="str" cm="1">
        <f t="array" ref="K31">IFERROR(_xll.FDS($A$1,""&amp;$B31&amp;"("&amp;(CHOOSE($F$1,$Z$4,$AA$4))&amp;","&amp;K$7&amp;",,,,"&amp;$H$1&amp;")"),"")</f>
        <v/>
      </c>
      <c r="L31" s="48" t="str" cm="1">
        <f t="array" ref="L31">IFERROR(_xll.FDS($A$1,""&amp;$B31&amp;"("&amp;(CHOOSE($F$1,$Z$4,$AA$4))&amp;","&amp;L$7&amp;",,,,"&amp;$H$1&amp;")"),"")</f>
        <v/>
      </c>
      <c r="M31" s="48" t="str" cm="1">
        <f t="array" ref="M31">IFERROR(_xll.FDS($A$1,""&amp;$B31&amp;"("&amp;(CHOOSE($F$1,$Z$4,$AA$4))&amp;","&amp;M$7&amp;",,,,"&amp;$H$1&amp;")"),"")</f>
        <v/>
      </c>
      <c r="N31" s="48" t="str" cm="1">
        <f t="array" ref="N31">IFERROR(_xll.FDS($A$1,""&amp;$B31&amp;"("&amp;(CHOOSE($F$1,$Z$4,$AA$4))&amp;","&amp;N$7&amp;",,,,"&amp;$H$1&amp;")"),"")</f>
        <v/>
      </c>
      <c r="O31" s="48" t="str" cm="1">
        <f t="array" ref="O31">IFERROR(_xll.FDS($A$1,""&amp;$B31&amp;"("&amp;(CHOOSE($F$1,$Z$4,$AA$4))&amp;","&amp;O$7&amp;",,,,"&amp;$H$1&amp;")"),"")</f>
        <v/>
      </c>
    </row>
    <row r="32" spans="1:15" x14ac:dyDescent="0.15">
      <c r="A32" s="44" t="s">
        <v>113</v>
      </c>
      <c r="B32" t="s">
        <v>196</v>
      </c>
      <c r="E32" s="48" cm="1">
        <f t="array" ref="E32">IFERROR(_xll.FDS($A$1,""&amp;$B32&amp;"("&amp;(CHOOSE($F$1,$Z$4,$AA$4))&amp;","&amp;E$7&amp;",,,,"&amp;$H$1&amp;")"),"")</f>
        <v>4841.8999999999996</v>
      </c>
      <c r="F32" s="48" cm="1">
        <f t="array" ref="F32">IFERROR(_xll.FDS($A$1,""&amp;$B32&amp;"("&amp;(CHOOSE($F$1,$Z$4,$AA$4))&amp;","&amp;F$7&amp;",,,,"&amp;$H$1&amp;")"),"")</f>
        <v>4330.3</v>
      </c>
      <c r="G32" s="48" cm="1">
        <f t="array" ref="G32">IFERROR(_xll.FDS($A$1,""&amp;$B32&amp;"("&amp;(CHOOSE($F$1,$Z$4,$AA$4))&amp;","&amp;G$7&amp;",,,,"&amp;$H$1&amp;")"),"")</f>
        <v>4883.3999999999996</v>
      </c>
      <c r="H32" s="48" cm="1">
        <f t="array" ref="H32">IFERROR(_xll.FDS($A$1,""&amp;$B32&amp;"("&amp;(CHOOSE($F$1,$Z$4,$AA$4))&amp;","&amp;H$7&amp;",,,,"&amp;$H$1&amp;")"),"")</f>
        <v>4354</v>
      </c>
      <c r="I32" s="48" cm="1">
        <f t="array" ref="I32">IFERROR(_xll.FDS($A$1,""&amp;$B32&amp;"("&amp;(CHOOSE($F$1,$Z$4,$AA$4))&amp;","&amp;I$7&amp;",,,,"&amp;$H$1&amp;")"),"")</f>
        <v>4551.8999999999996</v>
      </c>
      <c r="J32" s="48" cm="1">
        <f t="array" ref="J32">IFERROR(_xll.FDS($A$1,""&amp;$B32&amp;"("&amp;(CHOOSE($F$1,$Z$4,$AA$4))&amp;","&amp;J$7&amp;",,,,"&amp;$H$1&amp;")"),"")</f>
        <v>5241.2</v>
      </c>
      <c r="K32" s="48" cm="1">
        <f t="array" ref="K32">IFERROR(_xll.FDS($A$1,""&amp;$B32&amp;"("&amp;(CHOOSE($F$1,$Z$4,$AA$4))&amp;","&amp;K$7&amp;",,,,"&amp;$H$1&amp;")"),"")</f>
        <v>4447.6000000000004</v>
      </c>
      <c r="L32" s="48" cm="1">
        <f t="array" ref="L32">IFERROR(_xll.FDS($A$1,""&amp;$B32&amp;"("&amp;(CHOOSE($F$1,$Z$4,$AA$4))&amp;","&amp;L$7&amp;",,,,"&amp;$H$1&amp;")"),"")</f>
        <v>4510.3</v>
      </c>
      <c r="M32" s="48" cm="1">
        <f t="array" ref="M32">IFERROR(_xll.FDS($A$1,""&amp;$B32&amp;"("&amp;(CHOOSE($F$1,$Z$4,$AA$4))&amp;","&amp;M$7&amp;",,,,"&amp;$H$1&amp;")"),"")</f>
        <v>4768.8</v>
      </c>
      <c r="N32" s="48" cm="1">
        <f t="array" ref="N32">IFERROR(_xll.FDS($A$1,""&amp;$B32&amp;"("&amp;(CHOOSE($F$1,$Z$4,$AA$4))&amp;","&amp;N$7&amp;",,,,"&amp;$H$1&amp;")"),"")</f>
        <v>4370.5</v>
      </c>
      <c r="O32" s="48" cm="1">
        <f t="array" ref="O32">IFERROR(_xll.FDS($A$1,""&amp;$B32&amp;"("&amp;(CHOOSE($F$1,$Z$4,$AA$4))&amp;","&amp;O$7&amp;",,,,"&amp;$H$1&amp;")"),"")</f>
        <v>4741.8</v>
      </c>
    </row>
    <row r="33" spans="1:15" x14ac:dyDescent="0.15">
      <c r="A33" s="44" t="s">
        <v>114</v>
      </c>
      <c r="B33" t="s">
        <v>197</v>
      </c>
      <c r="E33" s="48" cm="1">
        <f t="array" ref="E33">IFERROR(_xll.FDS($A$1,""&amp;$B33&amp;"("&amp;(CHOOSE($F$1,$Z$4,$AA$4))&amp;","&amp;E$7&amp;",,,,"&amp;$H$1&amp;")"),"")</f>
        <v>501.6</v>
      </c>
      <c r="F33" s="48" cm="1">
        <f t="array" ref="F33">IFERROR(_xll.FDS($A$1,""&amp;$B33&amp;"("&amp;(CHOOSE($F$1,$Z$4,$AA$4))&amp;","&amp;F$7&amp;",,,,"&amp;$H$1&amp;")"),"")</f>
        <v>511.9</v>
      </c>
      <c r="G33" s="48" cm="1">
        <f t="array" ref="G33">IFERROR(_xll.FDS($A$1,""&amp;$B33&amp;"("&amp;(CHOOSE($F$1,$Z$4,$AA$4))&amp;","&amp;G$7&amp;",,,,"&amp;$H$1&amp;")"),"")</f>
        <v>531.70000000000005</v>
      </c>
      <c r="H33" s="48" cm="1">
        <f t="array" ref="H33">IFERROR(_xll.FDS($A$1,""&amp;$B33&amp;"("&amp;(CHOOSE($F$1,$Z$4,$AA$4))&amp;","&amp;H$7&amp;",,,,"&amp;$H$1&amp;")"),"")</f>
        <v>523.9</v>
      </c>
      <c r="I33" s="48" cm="1">
        <f t="array" ref="I33">IFERROR(_xll.FDS($A$1,""&amp;$B33&amp;"("&amp;(CHOOSE($F$1,$Z$4,$AA$4))&amp;","&amp;I$7&amp;",,,,"&amp;$H$1&amp;")"),"")</f>
        <v>500.6</v>
      </c>
      <c r="J33" s="48" cm="1">
        <f t="array" ref="J33">IFERROR(_xll.FDS($A$1,""&amp;$B33&amp;"("&amp;(CHOOSE($F$1,$Z$4,$AA$4))&amp;","&amp;J$7&amp;",,,,"&amp;$H$1&amp;")"),"")</f>
        <v>504.8</v>
      </c>
      <c r="K33" s="48" cm="1">
        <f t="array" ref="K33">IFERROR(_xll.FDS($A$1,""&amp;$B33&amp;"("&amp;(CHOOSE($F$1,$Z$4,$AA$4))&amp;","&amp;K$7&amp;",,,,"&amp;$H$1&amp;")"),"")</f>
        <v>546.9</v>
      </c>
      <c r="L33" s="48" cm="1">
        <f t="array" ref="L33">IFERROR(_xll.FDS($A$1,""&amp;$B33&amp;"("&amp;(CHOOSE($F$1,$Z$4,$AA$4))&amp;","&amp;L$7&amp;",,,,"&amp;$H$1&amp;")"),"")</f>
        <v>642.70000000000005</v>
      </c>
      <c r="M33" s="48" cm="1">
        <f t="array" ref="M33">IFERROR(_xll.FDS($A$1,""&amp;$B33&amp;"("&amp;(CHOOSE($F$1,$Z$4,$AA$4))&amp;","&amp;M$7&amp;",,,,"&amp;$H$1&amp;")"),"")</f>
        <v>580.9</v>
      </c>
      <c r="N33" s="48" cm="1">
        <f t="array" ref="N33">IFERROR(_xll.FDS($A$1,""&amp;$B33&amp;"("&amp;(CHOOSE($F$1,$Z$4,$AA$4))&amp;","&amp;N$7&amp;",,,,"&amp;$H$1&amp;")"),"")</f>
        <v>511.8</v>
      </c>
      <c r="O33" s="48" cm="1">
        <f t="array" ref="O33">IFERROR(_xll.FDS($A$1,""&amp;$B33&amp;"("&amp;(CHOOSE($F$1,$Z$4,$AA$4))&amp;","&amp;O$7&amp;",,,,"&amp;$H$1&amp;")"),"")</f>
        <v>489.4</v>
      </c>
    </row>
    <row r="34" spans="1:15" x14ac:dyDescent="0.15">
      <c r="A34" s="44" t="s">
        <v>115</v>
      </c>
      <c r="B34" t="s">
        <v>198</v>
      </c>
      <c r="E34" s="48" cm="1">
        <f t="array" ref="E34">IFERROR(_xll.FDS($A$1,""&amp;$B34&amp;"("&amp;(CHOOSE($F$1,$Z$4,$AA$4))&amp;","&amp;E$7&amp;",,,,"&amp;$H$1&amp;")"),"")</f>
        <v>201.7</v>
      </c>
      <c r="F34" s="48" cm="1">
        <f t="array" ref="F34">IFERROR(_xll.FDS($A$1,""&amp;$B34&amp;"("&amp;(CHOOSE($F$1,$Z$4,$AA$4))&amp;","&amp;F$7&amp;",,,,"&amp;$H$1&amp;")"),"")</f>
        <v>200.9</v>
      </c>
      <c r="G34" s="48" cm="1">
        <f t="array" ref="G34">IFERROR(_xll.FDS($A$1,""&amp;$B34&amp;"("&amp;(CHOOSE($F$1,$Z$4,$AA$4))&amp;","&amp;G$7&amp;",,,,"&amp;$H$1&amp;")"),"")</f>
        <v>198.7</v>
      </c>
      <c r="H34" s="48" cm="1">
        <f t="array" ref="H34">IFERROR(_xll.FDS($A$1,""&amp;$B34&amp;"("&amp;(CHOOSE($F$1,$Z$4,$AA$4))&amp;","&amp;H$7&amp;",,,,"&amp;$H$1&amp;")"),"")</f>
        <v>230.9</v>
      </c>
      <c r="I34" s="48" cm="1">
        <f t="array" ref="I34">IFERROR(_xll.FDS($A$1,""&amp;$B34&amp;"("&amp;(CHOOSE($F$1,$Z$4,$AA$4))&amp;","&amp;I$7&amp;",,,,"&amp;$H$1&amp;")"),"")</f>
        <v>335.1</v>
      </c>
      <c r="J34" s="48" cm="1">
        <f t="array" ref="J34">IFERROR(_xll.FDS($A$1,""&amp;$B34&amp;"("&amp;(CHOOSE($F$1,$Z$4,$AA$4))&amp;","&amp;J$7&amp;",,,,"&amp;$H$1&amp;")"),"")</f>
        <v>338.6</v>
      </c>
      <c r="K34" s="48" cm="1">
        <f t="array" ref="K34">IFERROR(_xll.FDS($A$1,""&amp;$B34&amp;"("&amp;(CHOOSE($F$1,$Z$4,$AA$4))&amp;","&amp;K$7&amp;",,,,"&amp;$H$1&amp;")"),"")</f>
        <v>350.3</v>
      </c>
      <c r="L34" s="48" cm="1">
        <f t="array" ref="L34">IFERROR(_xll.FDS($A$1,""&amp;$B34&amp;"("&amp;(CHOOSE($F$1,$Z$4,$AA$4))&amp;","&amp;L$7&amp;",,,,"&amp;$H$1&amp;")"),"")</f>
        <v>351.7</v>
      </c>
      <c r="M34" s="48" cm="1">
        <f t="array" ref="M34">IFERROR(_xll.FDS($A$1,""&amp;$B34&amp;"("&amp;(CHOOSE($F$1,$Z$4,$AA$4))&amp;","&amp;M$7&amp;",,,,"&amp;$H$1&amp;")"),"")</f>
        <v>353</v>
      </c>
      <c r="N34" s="48" cm="1">
        <f t="array" ref="N34">IFERROR(_xll.FDS($A$1,""&amp;$B34&amp;"("&amp;(CHOOSE($F$1,$Z$4,$AA$4))&amp;","&amp;N$7&amp;",,,,"&amp;$H$1&amp;")"),"")</f>
        <v>352.2</v>
      </c>
      <c r="O34" s="48" cm="1">
        <f t="array" ref="O34">IFERROR(_xll.FDS($A$1,""&amp;$B34&amp;"("&amp;(CHOOSE($F$1,$Z$4,$AA$4))&amp;","&amp;O$7&amp;",,,,"&amp;$H$1&amp;")"),"")</f>
        <v>347.6</v>
      </c>
    </row>
    <row r="35" spans="1:15" x14ac:dyDescent="0.15">
      <c r="A35" s="45" t="s">
        <v>116</v>
      </c>
      <c r="B35" t="s">
        <v>199</v>
      </c>
      <c r="E35" s="48" cm="1">
        <f t="array" ref="E35">IFERROR(_xll.FDS($A$1,""&amp;$B35&amp;"("&amp;(CHOOSE($F$1,$Z$4,$AA$4))&amp;","&amp;E$7&amp;",,,,"&amp;$H$1&amp;")"),"")</f>
        <v>58082.8</v>
      </c>
      <c r="F35" s="48">
        <v>58703.4</v>
      </c>
      <c r="G35" s="48">
        <v>61754.1</v>
      </c>
      <c r="H35" s="48">
        <v>59860.799999999996</v>
      </c>
      <c r="I35" s="48">
        <v>61248.200000000004</v>
      </c>
      <c r="J35" s="48">
        <v>63322.999999999993</v>
      </c>
      <c r="K35" s="48">
        <v>61185</v>
      </c>
      <c r="L35" s="48">
        <v>66429</v>
      </c>
      <c r="M35" s="48">
        <v>70097.3</v>
      </c>
      <c r="N35" s="48">
        <v>69562</v>
      </c>
      <c r="O35" s="48">
        <v>60571.199999999997</v>
      </c>
    </row>
    <row r="36" spans="1:15" x14ac:dyDescent="0.15">
      <c r="A36" s="2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</row>
    <row r="37" spans="1:15" x14ac:dyDescent="0.15">
      <c r="A37" s="44" t="s">
        <v>117</v>
      </c>
      <c r="B37" t="s">
        <v>200</v>
      </c>
      <c r="E37" s="48" t="str" cm="1">
        <f t="array" ref="E37">IFERROR(_xll.FDS($A$1,""&amp;$B37&amp;"("&amp;(CHOOSE($F$1,$Z$4,$AA$4))&amp;","&amp;E$7&amp;",,,,"&amp;$H$1&amp;")"),"")</f>
        <v/>
      </c>
      <c r="F37" s="48" t="str" cm="1">
        <f t="array" ref="F37">IFERROR(_xll.FDS($A$1,""&amp;$B37&amp;"("&amp;(CHOOSE($F$1,$Z$4,$AA$4))&amp;","&amp;F$7&amp;",,,,"&amp;$H$1&amp;")"),"")</f>
        <v/>
      </c>
      <c r="G37" s="48" t="str" cm="1">
        <f t="array" ref="G37">IFERROR(_xll.FDS($A$1,""&amp;$B37&amp;"("&amp;(CHOOSE($F$1,$Z$4,$AA$4))&amp;","&amp;G$7&amp;",,,,"&amp;$H$1&amp;")"),"")</f>
        <v/>
      </c>
      <c r="H37" s="48" t="str" cm="1">
        <f t="array" ref="H37">IFERROR(_xll.FDS($A$1,""&amp;$B37&amp;"("&amp;(CHOOSE($F$1,$Z$4,$AA$4))&amp;","&amp;H$7&amp;",,,,"&amp;$H$1&amp;")"),"")</f>
        <v/>
      </c>
      <c r="I37" s="48" t="str" cm="1">
        <f t="array" ref="I37">IFERROR(_xll.FDS($A$1,""&amp;$B37&amp;"("&amp;(CHOOSE($F$1,$Z$4,$AA$4))&amp;","&amp;I$7&amp;",,,,"&amp;$H$1&amp;")"),"")</f>
        <v/>
      </c>
      <c r="J37" s="48" t="str" cm="1">
        <f t="array" ref="J37">IFERROR(_xll.FDS($A$1,""&amp;$B37&amp;"("&amp;(CHOOSE($F$1,$Z$4,$AA$4))&amp;","&amp;J$7&amp;",,,,"&amp;$H$1&amp;")"),"")</f>
        <v/>
      </c>
      <c r="K37" s="48" t="str" cm="1">
        <f t="array" ref="K37">IFERROR(_xll.FDS($A$1,""&amp;$B37&amp;"("&amp;(CHOOSE($F$1,$Z$4,$AA$4))&amp;","&amp;K$7&amp;",,,,"&amp;$H$1&amp;")"),"")</f>
        <v/>
      </c>
      <c r="L37" s="48" t="str" cm="1">
        <f t="array" ref="L37">IFERROR(_xll.FDS($A$1,""&amp;$B37&amp;"("&amp;(CHOOSE($F$1,$Z$4,$AA$4))&amp;","&amp;L$7&amp;",,,,"&amp;$H$1&amp;")"),"")</f>
        <v/>
      </c>
      <c r="M37" s="48" t="str" cm="1">
        <f t="array" ref="M37">IFERROR(_xll.FDS($A$1,""&amp;$B37&amp;"("&amp;(CHOOSE($F$1,$Z$4,$AA$4))&amp;","&amp;M$7&amp;",,,,"&amp;$H$1&amp;")"),"")</f>
        <v/>
      </c>
      <c r="N37" s="48" t="str" cm="1">
        <f t="array" ref="N37">IFERROR(_xll.FDS($A$1,""&amp;$B37&amp;"("&amp;(CHOOSE($F$1,$Z$4,$AA$4))&amp;","&amp;N$7&amp;",,,,"&amp;$H$1&amp;")"),"")</f>
        <v/>
      </c>
      <c r="O37" s="48" t="str" cm="1">
        <f t="array" ref="O37">IFERROR(_xll.FDS($A$1,""&amp;$B37&amp;"("&amp;(CHOOSE($F$1,$Z$4,$AA$4))&amp;","&amp;O$7&amp;",,,,"&amp;$H$1&amp;")"),"")</f>
        <v/>
      </c>
    </row>
    <row r="38" spans="1:15" x14ac:dyDescent="0.15">
      <c r="A38" s="44" t="s">
        <v>118</v>
      </c>
      <c r="B38" t="s">
        <v>201</v>
      </c>
      <c r="E38" s="48" cm="1">
        <f t="array" ref="E38">IFERROR(_xll.FDS($A$1,""&amp;$B38&amp;"("&amp;(CHOOSE($F$1,$Z$4,$AA$4))&amp;","&amp;E$7&amp;",,,,"&amp;$H$1&amp;")"),"")</f>
        <v>-4332.6000000000004</v>
      </c>
      <c r="F38" s="48" cm="1">
        <f t="array" ref="F38">IFERROR(_xll.FDS($A$1,""&amp;$B38&amp;"("&amp;(CHOOSE($F$1,$Z$4,$AA$4))&amp;","&amp;F$7&amp;",,,,"&amp;$H$1&amp;")"),"")</f>
        <v>-4730</v>
      </c>
      <c r="G38" s="48" cm="1">
        <f t="array" ref="G38">IFERROR(_xll.FDS($A$1,""&amp;$B38&amp;"("&amp;(CHOOSE($F$1,$Z$4,$AA$4))&amp;","&amp;G$7&amp;",,,,"&amp;$H$1&amp;")"),"")</f>
        <v>-4680.7</v>
      </c>
      <c r="H38" s="48" cm="1">
        <f t="array" ref="H38">IFERROR(_xll.FDS($A$1,""&amp;$B38&amp;"("&amp;(CHOOSE($F$1,$Z$4,$AA$4))&amp;","&amp;H$7&amp;",,,,"&amp;$H$1&amp;")"),"")</f>
        <v>-3951.7</v>
      </c>
      <c r="I38" s="48" cm="1">
        <f t="array" ref="I38">IFERROR(_xll.FDS($A$1,""&amp;$B38&amp;"("&amp;(CHOOSE($F$1,$Z$4,$AA$4))&amp;","&amp;I$7&amp;",,,,"&amp;$H$1&amp;")"),"")</f>
        <v>-4432.3</v>
      </c>
      <c r="J38" s="48" cm="1">
        <f t="array" ref="J38">IFERROR(_xll.FDS($A$1,""&amp;$B38&amp;"("&amp;(CHOOSE($F$1,$Z$4,$AA$4))&amp;","&amp;J$7&amp;",,,,"&amp;$H$1&amp;")"),"")</f>
        <v>-4280.2</v>
      </c>
      <c r="K38" s="48" cm="1">
        <f t="array" ref="K38">IFERROR(_xll.FDS($A$1,""&amp;$B38&amp;"("&amp;(CHOOSE($F$1,$Z$4,$AA$4))&amp;","&amp;K$7&amp;",,,,"&amp;$H$1&amp;")"),"")</f>
        <v>-4510.3</v>
      </c>
      <c r="L38" s="48" cm="1">
        <f t="array" ref="L38">IFERROR(_xll.FDS($A$1,""&amp;$B38&amp;"("&amp;(CHOOSE($F$1,$Z$4,$AA$4))&amp;","&amp;L$7&amp;",,,,"&amp;$H$1&amp;")"),"")</f>
        <v>-4097.7</v>
      </c>
      <c r="M38" s="48" cm="1">
        <f t="array" ref="M38">IFERROR(_xll.FDS($A$1,""&amp;$B38&amp;"("&amp;(CHOOSE($F$1,$Z$4,$AA$4))&amp;","&amp;M$7&amp;",,,,"&amp;$H$1&amp;")"),"")</f>
        <v>-11453.6</v>
      </c>
      <c r="N38" s="48" cm="1">
        <f t="array" ref="N38">IFERROR(_xll.FDS($A$1,""&amp;$B38&amp;"("&amp;(CHOOSE($F$1,$Z$4,$AA$4))&amp;","&amp;N$7&amp;",,,,"&amp;$H$1&amp;")"),"")</f>
        <v>-11514.7</v>
      </c>
      <c r="O38" s="48" cm="1">
        <f t="array" ref="O38">IFERROR(_xll.FDS($A$1,""&amp;$B38&amp;"("&amp;(CHOOSE($F$1,$Z$4,$AA$4))&amp;","&amp;O$7&amp;",,,,"&amp;$H$1&amp;")"),"")</f>
        <v>-10720.8</v>
      </c>
    </row>
    <row r="39" spans="1:15" x14ac:dyDescent="0.15">
      <c r="A39" s="44" t="s">
        <v>119</v>
      </c>
      <c r="B39" t="s">
        <v>202</v>
      </c>
      <c r="E39" s="48" cm="1">
        <f t="array" ref="E39">IFERROR(_xll.FDS($A$1,""&amp;$B39&amp;"("&amp;(CHOOSE($F$1,$Z$4,$AA$4))&amp;","&amp;E$7&amp;",,,,"&amp;$H$1&amp;")"),"")</f>
        <v>455.8</v>
      </c>
      <c r="F39" s="48" cm="1">
        <f t="array" ref="F39">IFERROR(_xll.FDS($A$1,""&amp;$B39&amp;"("&amp;(CHOOSE($F$1,$Z$4,$AA$4))&amp;","&amp;F$7&amp;",,,,"&amp;$H$1&amp;")"),"")</f>
        <v>76.5</v>
      </c>
      <c r="G39" s="48" cm="1">
        <f t="array" ref="G39">IFERROR(_xll.FDS($A$1,""&amp;$B39&amp;"("&amp;(CHOOSE($F$1,$Z$4,$AA$4))&amp;","&amp;G$7&amp;",,,,"&amp;$H$1&amp;")"),"")</f>
        <v>151.9</v>
      </c>
      <c r="H39" s="48" cm="1">
        <f t="array" ref="H39">IFERROR(_xll.FDS($A$1,""&amp;$B39&amp;"("&amp;(CHOOSE($F$1,$Z$4,$AA$4))&amp;","&amp;H$7&amp;",,,,"&amp;$H$1&amp;")"),"")</f>
        <v>352</v>
      </c>
      <c r="I39" s="48" cm="1">
        <f t="array" ref="I39">IFERROR(_xll.FDS($A$1,""&amp;$B39&amp;"("&amp;(CHOOSE($F$1,$Z$4,$AA$4))&amp;","&amp;I$7&amp;",,,,"&amp;$H$1&amp;")"),"")</f>
        <v>0</v>
      </c>
      <c r="J39" s="48" cm="1">
        <f t="array" ref="J39">IFERROR(_xll.FDS($A$1,""&amp;$B39&amp;"("&amp;(CHOOSE($F$1,$Z$4,$AA$4))&amp;","&amp;J$7&amp;",,,,"&amp;$H$1&amp;")"),"")</f>
        <v>199.9</v>
      </c>
      <c r="K39" s="48" cm="1">
        <f t="array" ref="K39">IFERROR(_xll.FDS($A$1,""&amp;$B39&amp;"("&amp;(CHOOSE($F$1,$Z$4,$AA$4))&amp;","&amp;K$7&amp;",,,,"&amp;$H$1&amp;")"),"")</f>
        <v>0</v>
      </c>
      <c r="L39" s="48" cm="1">
        <f t="array" ref="L39">IFERROR(_xll.FDS($A$1,""&amp;$B39&amp;"("&amp;(CHOOSE($F$1,$Z$4,$AA$4))&amp;","&amp;L$7&amp;",,,,"&amp;$H$1&amp;")"),"")</f>
        <v>426.3</v>
      </c>
      <c r="M39" s="48" cm="1">
        <f t="array" ref="M39">IFERROR(_xll.FDS($A$1,""&amp;$B39&amp;"("&amp;(CHOOSE($F$1,$Z$4,$AA$4))&amp;","&amp;M$7&amp;",,,,"&amp;$H$1&amp;")"),"")</f>
        <v>25.4</v>
      </c>
      <c r="N39" s="48" cm="1">
        <f t="array" ref="N39">IFERROR(_xll.FDS($A$1,""&amp;$B39&amp;"("&amp;(CHOOSE($F$1,$Z$4,$AA$4))&amp;","&amp;N$7&amp;",,,,"&amp;$H$1&amp;")"),"")</f>
        <v>22.6</v>
      </c>
      <c r="O39" s="48" cm="1">
        <f t="array" ref="O39">IFERROR(_xll.FDS($A$1,""&amp;$B39&amp;"("&amp;(CHOOSE($F$1,$Z$4,$AA$4))&amp;","&amp;O$7&amp;",,,,"&amp;$H$1&amp;")"),"")</f>
        <v>20.2</v>
      </c>
    </row>
    <row r="40" spans="1:15" x14ac:dyDescent="0.15">
      <c r="A40" s="44" t="s">
        <v>120</v>
      </c>
      <c r="B40" t="s">
        <v>203</v>
      </c>
      <c r="E40" s="48" cm="1">
        <f t="array" ref="E40">IFERROR(_xll.FDS($A$1,""&amp;$B40&amp;"("&amp;(CHOOSE($F$1,$Z$4,$AA$4))&amp;","&amp;E$7&amp;",,,,"&amp;$H$1&amp;")"),"")</f>
        <v>2755.4</v>
      </c>
      <c r="F40" s="48" cm="1">
        <f t="array" ref="F40">IFERROR(_xll.FDS($A$1,""&amp;$B40&amp;"("&amp;(CHOOSE($F$1,$Z$4,$AA$4))&amp;","&amp;F$7&amp;",,,,"&amp;$H$1&amp;")"),"")</f>
        <v>2612</v>
      </c>
      <c r="G40" s="48" cm="1">
        <f t="array" ref="G40">IFERROR(_xll.FDS($A$1,""&amp;$B40&amp;"("&amp;(CHOOSE($F$1,$Z$4,$AA$4))&amp;","&amp;G$7&amp;",,,,"&amp;$H$1&amp;")"),"")</f>
        <v>2628.7</v>
      </c>
      <c r="H40" s="48" cm="1">
        <f t="array" ref="H40">IFERROR(_xll.FDS($A$1,""&amp;$B40&amp;"("&amp;(CHOOSE($F$1,$Z$4,$AA$4))&amp;","&amp;H$7&amp;",,,,"&amp;$H$1&amp;")"),"")</f>
        <v>2449.4</v>
      </c>
      <c r="I40" s="48" cm="1">
        <f t="array" ref="I40">IFERROR(_xll.FDS($A$1,""&amp;$B40&amp;"("&amp;(CHOOSE($F$1,$Z$4,$AA$4))&amp;","&amp;I$7&amp;",,,,"&amp;$H$1&amp;")"),"")</f>
        <v>2999.4</v>
      </c>
      <c r="J40" s="48" cm="1">
        <f t="array" ref="J40">IFERROR(_xll.FDS($A$1,""&amp;$B40&amp;"("&amp;(CHOOSE($F$1,$Z$4,$AA$4))&amp;","&amp;J$7&amp;",,,,"&amp;$H$1&amp;")"),"")</f>
        <v>2738.4</v>
      </c>
      <c r="K40" s="48" cm="1">
        <f t="array" ref="K40">IFERROR(_xll.FDS($A$1,""&amp;$B40&amp;"("&amp;(CHOOSE($F$1,$Z$4,$AA$4))&amp;","&amp;K$7&amp;",,,,"&amp;$H$1&amp;")"),"")</f>
        <v>2971.3</v>
      </c>
      <c r="L40" s="48" cm="1">
        <f t="array" ref="L40">IFERROR(_xll.FDS($A$1,""&amp;$B40&amp;"("&amp;(CHOOSE($F$1,$Z$4,$AA$4))&amp;","&amp;L$7&amp;",,,,"&amp;$H$1&amp;")"),"")</f>
        <v>3015</v>
      </c>
      <c r="M40" s="48" cm="1">
        <f t="array" ref="M40">IFERROR(_xll.FDS($A$1,""&amp;$B40&amp;"("&amp;(CHOOSE($F$1,$Z$4,$AA$4))&amp;","&amp;M$7&amp;",,,,"&amp;$H$1&amp;")"),"")</f>
        <v>3426.2</v>
      </c>
      <c r="N40" s="48" cm="1">
        <f t="array" ref="N40">IFERROR(_xll.FDS($A$1,""&amp;$B40&amp;"("&amp;(CHOOSE($F$1,$Z$4,$AA$4))&amp;","&amp;N$7&amp;",,,,"&amp;$H$1&amp;")"),"")</f>
        <v>3502.2</v>
      </c>
      <c r="O40" s="48" cm="1">
        <f t="array" ref="O40">IFERROR(_xll.FDS($A$1,""&amp;$B40&amp;"("&amp;(CHOOSE($F$1,$Z$4,$AA$4))&amp;","&amp;O$7&amp;",,,,"&amp;$H$1&amp;")"),"")</f>
        <v>3477.5</v>
      </c>
    </row>
    <row r="41" spans="1:15" x14ac:dyDescent="0.15">
      <c r="A41" s="2" t="s">
        <v>121</v>
      </c>
      <c r="B41" t="s">
        <v>204</v>
      </c>
      <c r="E41" s="48" cm="1">
        <f t="array" ref="E41">IFERROR(_xll.FDS($A$1,""&amp;$B41&amp;"("&amp;(CHOOSE($F$1,$Z$4,$AA$4))&amp;","&amp;E$7&amp;",,,,"&amp;$H$1&amp;")"),"")</f>
        <v>3211.2</v>
      </c>
      <c r="F41" s="48" cm="1">
        <f t="array" ref="F41">IFERROR(_xll.FDS($A$1,""&amp;$B41&amp;"("&amp;(CHOOSE($F$1,$Z$4,$AA$4))&amp;","&amp;F$7&amp;",,,,"&amp;$H$1&amp;")"),"")</f>
        <v>2688.5</v>
      </c>
      <c r="G41" s="48" cm="1">
        <f t="array" ref="G41">IFERROR(_xll.FDS($A$1,""&amp;$B41&amp;"("&amp;(CHOOSE($F$1,$Z$4,$AA$4))&amp;","&amp;G$7&amp;",,,,"&amp;$H$1&amp;")"),"")</f>
        <v>2780.6</v>
      </c>
      <c r="H41" s="48" cm="1">
        <f t="array" ref="H41">IFERROR(_xll.FDS($A$1,""&amp;$B41&amp;"("&amp;(CHOOSE($F$1,$Z$4,$AA$4))&amp;","&amp;H$7&amp;",,,,"&amp;$H$1&amp;")"),"")</f>
        <v>2801.4</v>
      </c>
      <c r="I41" s="48" cm="1">
        <f t="array" ref="I41">IFERROR(_xll.FDS($A$1,""&amp;$B41&amp;"("&amp;(CHOOSE($F$1,$Z$4,$AA$4))&amp;","&amp;I$7&amp;",,,,"&amp;$H$1&amp;")"),"")</f>
        <v>2999.4</v>
      </c>
      <c r="J41" s="48" cm="1">
        <f t="array" ref="J41">IFERROR(_xll.FDS($A$1,""&amp;$B41&amp;"("&amp;(CHOOSE($F$1,$Z$4,$AA$4))&amp;","&amp;J$7&amp;",,,,"&amp;$H$1&amp;")"),"")</f>
        <v>2938.3</v>
      </c>
      <c r="K41" s="48" cm="1">
        <f t="array" ref="K41">IFERROR(_xll.FDS($A$1,""&amp;$B41&amp;"("&amp;(CHOOSE($F$1,$Z$4,$AA$4))&amp;","&amp;K$7&amp;",,,,"&amp;$H$1&amp;")"),"")</f>
        <v>2971.3</v>
      </c>
      <c r="L41" s="48" cm="1">
        <f t="array" ref="L41">IFERROR(_xll.FDS($A$1,""&amp;$B41&amp;"("&amp;(CHOOSE($F$1,$Z$4,$AA$4))&amp;","&amp;L$7&amp;",,,,"&amp;$H$1&amp;")"),"")</f>
        <v>3441.3</v>
      </c>
      <c r="M41" s="48" cm="1">
        <f t="array" ref="M41">IFERROR(_xll.FDS($A$1,""&amp;$B41&amp;"("&amp;(CHOOSE($F$1,$Z$4,$AA$4))&amp;","&amp;M$7&amp;",,,,"&amp;$H$1&amp;")"),"")</f>
        <v>3451.6</v>
      </c>
      <c r="N41" s="48" cm="1">
        <f t="array" ref="N41">IFERROR(_xll.FDS($A$1,""&amp;$B41&amp;"("&amp;(CHOOSE($F$1,$Z$4,$AA$4))&amp;","&amp;N$7&amp;",,,,"&amp;$H$1&amp;")"),"")</f>
        <v>3524.8</v>
      </c>
      <c r="O41" s="48" cm="1">
        <f t="array" ref="O41">IFERROR(_xll.FDS($A$1,""&amp;$B41&amp;"("&amp;(CHOOSE($F$1,$Z$4,$AA$4))&amp;","&amp;O$7&amp;",,,,"&amp;$H$1&amp;")"),"")</f>
        <v>3497.7</v>
      </c>
    </row>
    <row r="42" spans="1:15" x14ac:dyDescent="0.15">
      <c r="A42" s="45" t="s">
        <v>123</v>
      </c>
      <c r="B42" t="s">
        <v>205</v>
      </c>
      <c r="E42" s="48" cm="1">
        <f t="array" ref="E42">IFERROR(_xll.FDS($A$1,""&amp;$B42&amp;"("&amp;(CHOOSE($F$1,$Z$4,$AA$4))&amp;","&amp;E$7&amp;",,,,"&amp;$H$1&amp;")"),"")</f>
        <v>49470.2</v>
      </c>
      <c r="F42" s="48">
        <v>50750.3507351109</v>
      </c>
      <c r="G42" s="48">
        <v>53934.386633663373</v>
      </c>
      <c r="H42" s="48">
        <v>51905.270771058102</v>
      </c>
      <c r="I42" s="48">
        <v>52978.974448711975</v>
      </c>
      <c r="J42" s="48">
        <v>54443.691014411837</v>
      </c>
      <c r="K42" s="48">
        <v>53258.978842879573</v>
      </c>
      <c r="L42" s="48">
        <v>57168.388032800889</v>
      </c>
      <c r="M42" s="48">
        <v>59866.192413175377</v>
      </c>
      <c r="N42" s="48">
        <v>58787.064761101152</v>
      </c>
      <c r="O42" s="48">
        <v>52486.005160338333</v>
      </c>
    </row>
    <row r="43" spans="1:15" x14ac:dyDescent="0.15">
      <c r="A43" s="44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</row>
    <row r="44" spans="1:15" x14ac:dyDescent="0.15">
      <c r="A44" s="44" t="s">
        <v>124</v>
      </c>
      <c r="B44" t="s">
        <v>206</v>
      </c>
      <c r="E44" s="48" cm="1">
        <f t="array" ref="E44">IFERROR(_xll.FDS($A$1,""&amp;$B44&amp;"("&amp;(CHOOSE($F$1,$Z$4,$AA$4))&amp;","&amp;E$7&amp;",,,,"&amp;$H$1&amp;")"),"")</f>
        <v>0</v>
      </c>
      <c r="F44" s="48" cm="1">
        <f t="array" ref="F44">IFERROR(_xll.FDS($A$1,""&amp;$B44&amp;"("&amp;(CHOOSE($F$1,$Z$4,$AA$4))&amp;","&amp;F$7&amp;",,,,"&amp;$H$1&amp;")"),"")</f>
        <v>0</v>
      </c>
      <c r="G44" s="48" cm="1">
        <f t="array" ref="G44">IFERROR(_xll.FDS($A$1,""&amp;$B44&amp;"("&amp;(CHOOSE($F$1,$Z$4,$AA$4))&amp;","&amp;G$7&amp;",,,,"&amp;$H$1&amp;")"),"")</f>
        <v>0</v>
      </c>
      <c r="H44" s="48" cm="1">
        <f t="array" ref="H44">IFERROR(_xll.FDS($A$1,""&amp;$B44&amp;"("&amp;(CHOOSE($F$1,$Z$4,$AA$4))&amp;","&amp;H$7&amp;",,,,"&amp;$H$1&amp;")"),"")</f>
        <v>0</v>
      </c>
      <c r="I44" s="48" cm="1">
        <f t="array" ref="I44">IFERROR(_xll.FDS($A$1,""&amp;$B44&amp;"("&amp;(CHOOSE($F$1,$Z$4,$AA$4))&amp;","&amp;I$7&amp;",,,,"&amp;$H$1&amp;")"),"")</f>
        <v>0</v>
      </c>
      <c r="J44" s="48" cm="1">
        <f t="array" ref="J44">IFERROR(_xll.FDS($A$1,""&amp;$B44&amp;"("&amp;(CHOOSE($F$1,$Z$4,$AA$4))&amp;","&amp;J$7&amp;",,,,"&amp;$H$1&amp;")"),"")</f>
        <v>0</v>
      </c>
      <c r="K44" s="48" cm="1">
        <f t="array" ref="K44">IFERROR(_xll.FDS($A$1,""&amp;$B44&amp;"("&amp;(CHOOSE($F$1,$Z$4,$AA$4))&amp;","&amp;K$7&amp;",,,,"&amp;$H$1&amp;")"),"")</f>
        <v>0</v>
      </c>
      <c r="L44" s="48" cm="1">
        <f t="array" ref="L44">IFERROR(_xll.FDS($A$1,""&amp;$B44&amp;"("&amp;(CHOOSE($F$1,$Z$4,$AA$4))&amp;","&amp;L$7&amp;",,,,"&amp;$H$1&amp;")"),"")</f>
        <v>0</v>
      </c>
      <c r="M44" s="48" cm="1">
        <f t="array" ref="M44">IFERROR(_xll.FDS($A$1,""&amp;$B44&amp;"("&amp;(CHOOSE($F$1,$Z$4,$AA$4))&amp;","&amp;M$7&amp;",,,,"&amp;$H$1&amp;")"),"")</f>
        <v>0</v>
      </c>
      <c r="N44" s="48" cm="1">
        <f t="array" ref="N44">IFERROR(_xll.FDS($A$1,""&amp;$B44&amp;"("&amp;(CHOOSE($F$1,$Z$4,$AA$4))&amp;","&amp;N$7&amp;",,,,"&amp;$H$1&amp;")"),"")</f>
        <v>0</v>
      </c>
      <c r="O44" s="48" cm="1">
        <f t="array" ref="O44">IFERROR(_xll.FDS($A$1,""&amp;$B44&amp;"("&amp;(CHOOSE($F$1,$Z$4,$AA$4))&amp;","&amp;O$7&amp;",,,,"&amp;$H$1&amp;")"),"")</f>
        <v>0</v>
      </c>
    </row>
    <row r="45" spans="1:15" x14ac:dyDescent="0.15">
      <c r="A45" s="44" t="s">
        <v>125</v>
      </c>
      <c r="B45" t="s">
        <v>207</v>
      </c>
      <c r="E45" s="48" cm="1">
        <f t="array" ref="E45">IFERROR(_xll.FDS($A$1,""&amp;$B45&amp;"("&amp;(CHOOSE($F$1,$Z$4,$AA$4))&amp;","&amp;E$7&amp;",,,,"&amp;$H$1&amp;")"),"")</f>
        <v>8612.6</v>
      </c>
      <c r="F45" s="48" cm="1">
        <f t="array" ref="F45">IFERROR(_xll.FDS($A$1,""&amp;$B45&amp;"("&amp;(CHOOSE($F$1,$Z$4,$AA$4))&amp;","&amp;F$7&amp;",,,,"&amp;$H$1&amp;")"),"")</f>
        <v>8659.1</v>
      </c>
      <c r="G45" s="48" cm="1">
        <f t="array" ref="G45">IFERROR(_xll.FDS($A$1,""&amp;$B45&amp;"("&amp;(CHOOSE($F$1,$Z$4,$AA$4))&amp;","&amp;G$7&amp;",,,,"&amp;$H$1&amp;")"),"")</f>
        <v>8521.9</v>
      </c>
      <c r="H45" s="48" cm="1">
        <f t="array" ref="H45">IFERROR(_xll.FDS($A$1,""&amp;$B45&amp;"("&amp;(CHOOSE($F$1,$Z$4,$AA$4))&amp;","&amp;H$7&amp;",,,,"&amp;$H$1&amp;")"),"")</f>
        <v>8663.9</v>
      </c>
      <c r="I45" s="48" cm="1">
        <f t="array" ref="I45">IFERROR(_xll.FDS($A$1,""&amp;$B45&amp;"("&amp;(CHOOSE($F$1,$Z$4,$AA$4))&amp;","&amp;I$7&amp;",,,,"&amp;$H$1&amp;")"),"")</f>
        <v>8968</v>
      </c>
      <c r="J45" s="48" cm="1">
        <f t="array" ref="J45">IFERROR(_xll.FDS($A$1,""&amp;$B45&amp;"("&amp;(CHOOSE($F$1,$Z$4,$AA$4))&amp;","&amp;J$7&amp;",,,,"&amp;$H$1&amp;")"),"")</f>
        <v>9574.9</v>
      </c>
      <c r="K45" s="48" cm="1">
        <f t="array" ref="K45">IFERROR(_xll.FDS($A$1,""&amp;$B45&amp;"("&amp;(CHOOSE($F$1,$Z$4,$AA$4))&amp;","&amp;K$7&amp;",,,,"&amp;$H$1&amp;")"),"")</f>
        <v>8621.7999999999993</v>
      </c>
      <c r="L45" s="48" cm="1">
        <f t="array" ref="L45">IFERROR(_xll.FDS($A$1,""&amp;$B45&amp;"("&amp;(CHOOSE($F$1,$Z$4,$AA$4))&amp;","&amp;L$7&amp;",,,,"&amp;$H$1&amp;")"),"")</f>
        <v>9965</v>
      </c>
      <c r="M45" s="48" cm="1">
        <f t="array" ref="M45">IFERROR(_xll.FDS($A$1,""&amp;$B45&amp;"("&amp;(CHOOSE($F$1,$Z$4,$AA$4))&amp;","&amp;M$7&amp;",,,,"&amp;$H$1&amp;")"),"")</f>
        <v>10871</v>
      </c>
      <c r="N45" s="48" cm="1">
        <f t="array" ref="N45">IFERROR(_xll.FDS($A$1,""&amp;$B45&amp;"("&amp;(CHOOSE($F$1,$Z$4,$AA$4))&amp;","&amp;N$7&amp;",,,,"&amp;$H$1&amp;")"),"")</f>
        <v>11416.4</v>
      </c>
      <c r="O45" s="48" cm="1">
        <f t="array" ref="O45">IFERROR(_xll.FDS($A$1,""&amp;$B45&amp;"("&amp;(CHOOSE($F$1,$Z$4,$AA$4))&amp;","&amp;O$7&amp;",,,,"&amp;$H$1&amp;")"),"")</f>
        <v>9197.5</v>
      </c>
    </row>
    <row r="46" spans="1:15" x14ac:dyDescent="0.15">
      <c r="A46" s="45" t="s">
        <v>127</v>
      </c>
      <c r="B46" t="s">
        <v>208</v>
      </c>
      <c r="E46" s="48" cm="1">
        <f t="array" ref="E46">IFERROR(_xll.FDS($A$1,""&amp;$B46&amp;"("&amp;(CHOOSE($F$1,$Z$4,$AA$4))&amp;","&amp;E$7&amp;",,,,"&amp;$H$1&amp;")"),"")</f>
        <v>58082.8</v>
      </c>
      <c r="F46" s="48" cm="1">
        <f t="array" ref="F46">IFERROR(_xll.FDS($A$1,""&amp;$B46&amp;"("&amp;(CHOOSE($F$1,$Z$4,$AA$4))&amp;","&amp;F$7&amp;",,,,"&amp;$H$1&amp;")"),"")</f>
        <v>55931.8</v>
      </c>
      <c r="G46" s="48" cm="1">
        <f t="array" ref="G46">IFERROR(_xll.FDS($A$1,""&amp;$B46&amp;"("&amp;(CHOOSE($F$1,$Z$4,$AA$4))&amp;","&amp;G$7&amp;",,,,"&amp;$H$1&amp;")"),"")</f>
        <v>59722.2</v>
      </c>
      <c r="H46" s="48" cm="1">
        <f t="array" ref="H46">IFERROR(_xll.FDS($A$1,""&amp;$B46&amp;"("&amp;(CHOOSE($F$1,$Z$4,$AA$4))&amp;","&amp;H$7&amp;",,,,"&amp;$H$1&amp;")"),"")</f>
        <v>57158</v>
      </c>
      <c r="I46" s="48" cm="1">
        <f t="array" ref="I46">IFERROR(_xll.FDS($A$1,""&amp;$B46&amp;"("&amp;(CHOOSE($F$1,$Z$4,$AA$4))&amp;","&amp;I$7&amp;",,,,"&amp;$H$1&amp;")"),"")</f>
        <v>58698.7</v>
      </c>
      <c r="J46" s="48" cm="1">
        <f t="array" ref="J46">IFERROR(_xll.FDS($A$1,""&amp;$B46&amp;"("&amp;(CHOOSE($F$1,$Z$4,$AA$4))&amp;","&amp;J$7&amp;",,,,"&amp;$H$1&amp;")"),"")</f>
        <v>60222.6</v>
      </c>
      <c r="K46" s="48" cm="1">
        <f t="array" ref="K46">IFERROR(_xll.FDS($A$1,""&amp;$B46&amp;"("&amp;(CHOOSE($F$1,$Z$4,$AA$4))&amp;","&amp;K$7&amp;",,,,"&amp;$H$1&amp;")"),"")</f>
        <v>57950.6</v>
      </c>
      <c r="L46" s="48" cm="1">
        <f t="array" ref="L46">IFERROR(_xll.FDS($A$1,""&amp;$B46&amp;"("&amp;(CHOOSE($F$1,$Z$4,$AA$4))&amp;","&amp;L$7&amp;",,,,"&amp;$H$1&amp;")"),"")</f>
        <v>63580</v>
      </c>
      <c r="M46" s="48" cm="1">
        <f t="array" ref="M46">IFERROR(_xll.FDS($A$1,""&amp;$B46&amp;"("&amp;(CHOOSE($F$1,$Z$4,$AA$4))&amp;","&amp;M$7&amp;",,,,"&amp;$H$1&amp;")"),"")</f>
        <v>60683.5</v>
      </c>
      <c r="N46" s="48" cm="1">
        <f t="array" ref="N46">IFERROR(_xll.FDS($A$1,""&amp;$B46&amp;"("&amp;(CHOOSE($F$1,$Z$4,$AA$4))&amp;","&amp;N$7&amp;",,,,"&amp;$H$1&amp;")"),"")</f>
        <v>59530.3</v>
      </c>
      <c r="O46" s="48" cm="1">
        <f t="array" ref="O46">IFERROR(_xll.FDS($A$1,""&amp;$B46&amp;"("&amp;(CHOOSE($F$1,$Z$4,$AA$4))&amp;","&amp;O$7&amp;",,,,"&amp;$H$1&amp;")"),"")</f>
        <v>50900.5</v>
      </c>
    </row>
    <row r="47" spans="1:15" x14ac:dyDescent="0.15">
      <c r="A47" s="2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217"/>
    </row>
    <row r="48" spans="1:15" x14ac:dyDescent="0.15">
      <c r="A48" s="35" t="s">
        <v>209</v>
      </c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</row>
    <row r="49" spans="1:15" x14ac:dyDescent="0.15">
      <c r="A49" s="35" t="s">
        <v>129</v>
      </c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</row>
    <row r="50" spans="1:15" x14ac:dyDescent="0.15">
      <c r="A50" s="2" t="s">
        <v>99</v>
      </c>
      <c r="B50" t="s">
        <v>210</v>
      </c>
      <c r="E50" s="48" t="str" cm="1">
        <f t="array" ref="E50">IFERROR(_xll.FDS($A$1,""&amp;$B50&amp;"("&amp;(CHOOSE($F$1,$Z$4,$AA$4))&amp;","&amp;E$7&amp;",,,,"&amp;$H$1&amp;")"),"")</f>
        <v/>
      </c>
      <c r="F50" s="48" t="str" cm="1">
        <f t="array" ref="F50">IFERROR(_xll.FDS($A$1,""&amp;$B50&amp;"("&amp;(CHOOSE($F$1,$Z$4,$AA$4))&amp;","&amp;F$7&amp;",,,,"&amp;$H$1&amp;")"),"")</f>
        <v/>
      </c>
      <c r="G50" s="48" t="str" cm="1">
        <f t="array" ref="G50">IFERROR(_xll.FDS($A$1,""&amp;$B50&amp;"("&amp;(CHOOSE($F$1,$Z$4,$AA$4))&amp;","&amp;G$7&amp;",,,,"&amp;$H$1&amp;")"),"")</f>
        <v/>
      </c>
      <c r="H50" s="48" t="str" cm="1">
        <f t="array" ref="H50">IFERROR(_xll.FDS($A$1,""&amp;$B50&amp;"("&amp;(CHOOSE($F$1,$Z$4,$AA$4))&amp;","&amp;H$7&amp;",,,,"&amp;$H$1&amp;")"),"")</f>
        <v/>
      </c>
      <c r="I50" s="48" t="str" cm="1">
        <f t="array" ref="I50">IFERROR(_xll.FDS($A$1,""&amp;$B50&amp;"("&amp;(CHOOSE($F$1,$Z$4,$AA$4))&amp;","&amp;I$7&amp;",,,,"&amp;$H$1&amp;")"),"")</f>
        <v/>
      </c>
      <c r="J50" s="48" t="str" cm="1">
        <f t="array" ref="J50">IFERROR(_xll.FDS($A$1,""&amp;$B50&amp;"("&amp;(CHOOSE($F$1,$Z$4,$AA$4))&amp;","&amp;J$7&amp;",,,,"&amp;$H$1&amp;")"),"")</f>
        <v/>
      </c>
      <c r="K50" s="48" t="str" cm="1">
        <f t="array" ref="K50">IFERROR(_xll.FDS($A$1,""&amp;$B50&amp;"("&amp;(CHOOSE($F$1,$Z$4,$AA$4))&amp;","&amp;K$7&amp;",,,,"&amp;$H$1&amp;")"),"")</f>
        <v/>
      </c>
      <c r="L50" s="48" t="str" cm="1">
        <f t="array" ref="L50">IFERROR(_xll.FDS($A$1,""&amp;$B50&amp;"("&amp;(CHOOSE($F$1,$Z$4,$AA$4))&amp;","&amp;L$7&amp;",,,,"&amp;$H$1&amp;")"),"")</f>
        <v/>
      </c>
      <c r="M50" s="48" t="str" cm="1">
        <f t="array" ref="M50">IFERROR(_xll.FDS($A$1,""&amp;$B50&amp;"("&amp;(CHOOSE($F$1,$Z$4,$AA$4))&amp;","&amp;M$7&amp;",,,,"&amp;$H$1&amp;")"),"")</f>
        <v/>
      </c>
      <c r="N50" s="48" t="str" cm="1">
        <f t="array" ref="N50">IFERROR(_xll.FDS($A$1,""&amp;$B50&amp;"("&amp;(CHOOSE($F$1,$Z$4,$AA$4))&amp;","&amp;N$7&amp;",,,,"&amp;$H$1&amp;")"),"")</f>
        <v/>
      </c>
      <c r="O50" s="48" t="str" cm="1">
        <f t="array" ref="O50">IFERROR(_xll.FDS($A$1,""&amp;$B50&amp;"("&amp;(CHOOSE($F$1,$Z$4,$AA$4))&amp;","&amp;O$7&amp;",,,,"&amp;$H$1&amp;")"),"")</f>
        <v/>
      </c>
    </row>
    <row r="51" spans="1:15" x14ac:dyDescent="0.15">
      <c r="A51" s="8" t="s">
        <v>131</v>
      </c>
      <c r="B51" t="s">
        <v>211</v>
      </c>
      <c r="E51" s="48" cm="1">
        <f t="array" ref="E51">IFERROR(_xll.FDS($A$1,""&amp;$B51&amp;"("&amp;(CHOOSE($F$1,$Z$4,$AA$4))&amp;","&amp;E$7&amp;",,,,"&amp;$H$1&amp;")"),"")</f>
        <v>84.3</v>
      </c>
      <c r="F51" s="48" cm="1">
        <f t="array" ref="F51">IFERROR(_xll.FDS($A$1,""&amp;$B51&amp;"("&amp;(CHOOSE($F$1,$Z$4,$AA$4))&amp;","&amp;F$7&amp;",,,,"&amp;$H$1&amp;")"),"")</f>
        <v>84.8</v>
      </c>
      <c r="G51" s="48" cm="1">
        <f t="array" ref="G51">IFERROR(_xll.FDS($A$1,""&amp;$B51&amp;"("&amp;(CHOOSE($F$1,$Z$4,$AA$4))&amp;","&amp;G$7&amp;",,,,"&amp;$H$1&amp;")"),"")</f>
        <v>87.9</v>
      </c>
      <c r="H51" s="48" cm="1">
        <f t="array" ref="H51">IFERROR(_xll.FDS($A$1,""&amp;$B51&amp;"("&amp;(CHOOSE($F$1,$Z$4,$AA$4))&amp;","&amp;H$7&amp;",,,,"&amp;$H$1&amp;")"),"")</f>
        <v>99.5</v>
      </c>
      <c r="I51" s="48" cm="1">
        <f t="array" ref="I51">IFERROR(_xll.FDS($A$1,""&amp;$B51&amp;"("&amp;(CHOOSE($F$1,$Z$4,$AA$4))&amp;","&amp;I$7&amp;",,,,"&amp;$H$1&amp;")"),"")</f>
        <v>101.7</v>
      </c>
      <c r="J51" s="48" cm="1">
        <f t="array" ref="J51">IFERROR(_xll.FDS($A$1,""&amp;$B51&amp;"("&amp;(CHOOSE($F$1,$Z$4,$AA$4))&amp;","&amp;J$7&amp;",,,,"&amp;$H$1&amp;")"),"")</f>
        <v>103.4</v>
      </c>
      <c r="K51" s="48" cm="1">
        <f t="array" ref="K51">IFERROR(_xll.FDS($A$1,""&amp;$B51&amp;"("&amp;(CHOOSE($F$1,$Z$4,$AA$4))&amp;","&amp;K$7&amp;",,,,"&amp;$H$1&amp;")"),"")</f>
        <v>101.4</v>
      </c>
      <c r="L51" s="48" cm="1">
        <f t="array" ref="L51">IFERROR(_xll.FDS($A$1,""&amp;$B51&amp;"("&amp;(CHOOSE($F$1,$Z$4,$AA$4))&amp;","&amp;L$7&amp;",,,,"&amp;$H$1&amp;")"),"")</f>
        <v>110.1</v>
      </c>
      <c r="M51" s="48" cm="1">
        <f t="array" ref="M51">IFERROR(_xll.FDS($A$1,""&amp;$B51&amp;"("&amp;(CHOOSE($F$1,$Z$4,$AA$4))&amp;","&amp;M$7&amp;",,,,"&amp;$H$1&amp;")"),"")</f>
        <v>113.6</v>
      </c>
      <c r="N51" s="48" cm="1">
        <f t="array" ref="N51">IFERROR(_xll.FDS($A$1,""&amp;$B51&amp;"("&amp;(CHOOSE($F$1,$Z$4,$AA$4))&amp;","&amp;N$7&amp;",,,,"&amp;$H$1&amp;")"),"")</f>
        <v>119.8</v>
      </c>
      <c r="O51" s="48" cm="1">
        <f t="array" ref="O51">IFERROR(_xll.FDS($A$1,""&amp;$B51&amp;"("&amp;(CHOOSE($F$1,$Z$4,$AA$4))&amp;","&amp;O$7&amp;",,,,"&amp;$H$1&amp;")"),"")</f>
        <v>110.5</v>
      </c>
    </row>
    <row r="52" spans="1:15" x14ac:dyDescent="0.15">
      <c r="A52" s="8" t="s">
        <v>132</v>
      </c>
      <c r="B52" t="s">
        <v>212</v>
      </c>
      <c r="E52" s="48" t="str" cm="1">
        <f t="array" ref="E52">IFERROR(_xll.FDS($A$1,""&amp;$B52&amp;"("&amp;(CHOOSE($F$1,$Z$4,$AA$4))&amp;","&amp;E$7&amp;",,,,"&amp;$H$1&amp;")"),"")</f>
        <v/>
      </c>
      <c r="F52" s="48" t="str" cm="1">
        <f t="array" ref="F52">IFERROR(_xll.FDS($A$1,""&amp;$B52&amp;"("&amp;(CHOOSE($F$1,$Z$4,$AA$4))&amp;","&amp;F$7&amp;",,,,"&amp;$H$1&amp;")"),"")</f>
        <v/>
      </c>
      <c r="G52" s="48" t="str" cm="1">
        <f t="array" ref="G52">IFERROR(_xll.FDS($A$1,""&amp;$B52&amp;"("&amp;(CHOOSE($F$1,$Z$4,$AA$4))&amp;","&amp;G$7&amp;",,,,"&amp;$H$1&amp;")"),"")</f>
        <v/>
      </c>
      <c r="H52" s="48" t="str" cm="1">
        <f t="array" ref="H52">IFERROR(_xll.FDS($A$1,""&amp;$B52&amp;"("&amp;(CHOOSE($F$1,$Z$4,$AA$4))&amp;","&amp;H$7&amp;",,,,"&amp;$H$1&amp;")"),"")</f>
        <v/>
      </c>
      <c r="I52" s="48" t="str" cm="1">
        <f t="array" ref="I52">IFERROR(_xll.FDS($A$1,""&amp;$B52&amp;"("&amp;(CHOOSE($F$1,$Z$4,$AA$4))&amp;","&amp;I$7&amp;",,,,"&amp;$H$1&amp;")"),"")</f>
        <v/>
      </c>
      <c r="J52" s="48" t="str" cm="1">
        <f t="array" ref="J52">IFERROR(_xll.FDS($A$1,""&amp;$B52&amp;"("&amp;(CHOOSE($F$1,$Z$4,$AA$4))&amp;","&amp;J$7&amp;",,,,"&amp;$H$1&amp;")"),"")</f>
        <v/>
      </c>
      <c r="K52" s="48" t="str" cm="1">
        <f t="array" ref="K52">IFERROR(_xll.FDS($A$1,""&amp;$B52&amp;"("&amp;(CHOOSE($F$1,$Z$4,$AA$4))&amp;","&amp;K$7&amp;",,,,"&amp;$H$1&amp;")"),"")</f>
        <v/>
      </c>
      <c r="L52" s="48" t="str" cm="1">
        <f t="array" ref="L52">IFERROR(_xll.FDS($A$1,""&amp;$B52&amp;"("&amp;(CHOOSE($F$1,$Z$4,$AA$4))&amp;","&amp;L$7&amp;",,,,"&amp;$H$1&amp;")"),"")</f>
        <v/>
      </c>
      <c r="M52" s="48" t="str" cm="1">
        <f t="array" ref="M52">IFERROR(_xll.FDS($A$1,""&amp;$B52&amp;"("&amp;(CHOOSE($F$1,$Z$4,$AA$4))&amp;","&amp;M$7&amp;",,,,"&amp;$H$1&amp;")"),"")</f>
        <v/>
      </c>
      <c r="N52" s="48" t="str" cm="1">
        <f t="array" ref="N52">IFERROR(_xll.FDS($A$1,""&amp;$B52&amp;"("&amp;(CHOOSE($F$1,$Z$4,$AA$4))&amp;","&amp;N$7&amp;",,,,"&amp;$H$1&amp;")"),"")</f>
        <v/>
      </c>
      <c r="O52" s="48" t="str" cm="1">
        <f t="array" ref="O52">IFERROR(_xll.FDS($A$1,""&amp;$B52&amp;"("&amp;(CHOOSE($F$1,$Z$4,$AA$4))&amp;","&amp;O$7&amp;",,,,"&amp;$H$1&amp;")"),"")</f>
        <v/>
      </c>
    </row>
    <row r="53" spans="1:15" x14ac:dyDescent="0.15">
      <c r="A53" s="8" t="s">
        <v>133</v>
      </c>
      <c r="B53" t="s">
        <v>213</v>
      </c>
      <c r="E53" s="48" t="str" cm="1">
        <f t="array" ref="E53">IFERROR(_xll.FDS($A$1,""&amp;$B53&amp;"("&amp;(CHOOSE($F$1,$Z$4,$AA$4))&amp;","&amp;E$7&amp;",,,,"&amp;$H$1&amp;")"),"")</f>
        <v/>
      </c>
      <c r="F53" s="48" t="str" cm="1">
        <f t="array" ref="F53">IFERROR(_xll.FDS($A$1,""&amp;$B53&amp;"("&amp;(CHOOSE($F$1,$Z$4,$AA$4))&amp;","&amp;F$7&amp;",,,,"&amp;$H$1&amp;")"),"")</f>
        <v/>
      </c>
      <c r="G53" s="48" t="str" cm="1">
        <f t="array" ref="G53">IFERROR(_xll.FDS($A$1,""&amp;$B53&amp;"("&amp;(CHOOSE($F$1,$Z$4,$AA$4))&amp;","&amp;G$7&amp;",,,,"&amp;$H$1&amp;")"),"")</f>
        <v/>
      </c>
      <c r="H53" s="48" t="str" cm="1">
        <f t="array" ref="H53">IFERROR(_xll.FDS($A$1,""&amp;$B53&amp;"("&amp;(CHOOSE($F$1,$Z$4,$AA$4))&amp;","&amp;H$7&amp;",,,,"&amp;$H$1&amp;")"),"")</f>
        <v/>
      </c>
      <c r="I53" s="48" t="str" cm="1">
        <f t="array" ref="I53">IFERROR(_xll.FDS($A$1,""&amp;$B53&amp;"("&amp;(CHOOSE($F$1,$Z$4,$AA$4))&amp;","&amp;I$7&amp;",,,,"&amp;$H$1&amp;")"),"")</f>
        <v/>
      </c>
      <c r="J53" s="48" t="str" cm="1">
        <f t="array" ref="J53">IFERROR(_xll.FDS($A$1,""&amp;$B53&amp;"("&amp;(CHOOSE($F$1,$Z$4,$AA$4))&amp;","&amp;J$7&amp;",,,,"&amp;$H$1&amp;")"),"")</f>
        <v/>
      </c>
      <c r="K53" s="48" t="str" cm="1">
        <f t="array" ref="K53">IFERROR(_xll.FDS($A$1,""&amp;$B53&amp;"("&amp;(CHOOSE($F$1,$Z$4,$AA$4))&amp;","&amp;K$7&amp;",,,,"&amp;$H$1&amp;")"),"")</f>
        <v/>
      </c>
      <c r="L53" s="48" t="str" cm="1">
        <f t="array" ref="L53">IFERROR(_xll.FDS($A$1,""&amp;$B53&amp;"("&amp;(CHOOSE($F$1,$Z$4,$AA$4))&amp;","&amp;L$7&amp;",,,,"&amp;$H$1&amp;")"),"")</f>
        <v/>
      </c>
      <c r="M53" s="48" t="str" cm="1">
        <f t="array" ref="M53">IFERROR(_xll.FDS($A$1,""&amp;$B53&amp;"("&amp;(CHOOSE($F$1,$Z$4,$AA$4))&amp;","&amp;M$7&amp;",,,,"&amp;$H$1&amp;")"),"")</f>
        <v/>
      </c>
      <c r="N53" s="48" t="str" cm="1">
        <f t="array" ref="N53">IFERROR(_xll.FDS($A$1,""&amp;$B53&amp;"("&amp;(CHOOSE($F$1,$Z$4,$AA$4))&amp;","&amp;N$7&amp;",,,,"&amp;$H$1&amp;")"),"")</f>
        <v/>
      </c>
      <c r="O53" s="48" t="str" cm="1">
        <f t="array" ref="O53">IFERROR(_xll.FDS($A$1,""&amp;$B53&amp;"("&amp;(CHOOSE($F$1,$Z$4,$AA$4))&amp;","&amp;O$7&amp;",,,,"&amp;$H$1&amp;")"),"")</f>
        <v/>
      </c>
    </row>
    <row r="54" spans="1:15" x14ac:dyDescent="0.15">
      <c r="A54" s="8" t="s">
        <v>134</v>
      </c>
      <c r="B54" t="s">
        <v>214</v>
      </c>
      <c r="E54" s="48" t="str" cm="1">
        <f t="array" ref="E54">IFERROR(_xll.FDS($A$1,""&amp;$B54&amp;"("&amp;(CHOOSE($F$1,$Z$4,$AA$4))&amp;","&amp;E$7&amp;",,,,"&amp;$H$1&amp;")"),"")</f>
        <v/>
      </c>
      <c r="F54" s="48" t="str" cm="1">
        <f t="array" ref="F54">IFERROR(_xll.FDS($A$1,""&amp;$B54&amp;"("&amp;(CHOOSE($F$1,$Z$4,$AA$4))&amp;","&amp;F$7&amp;",,,,"&amp;$H$1&amp;")"),"")</f>
        <v/>
      </c>
      <c r="G54" s="48" t="str" cm="1">
        <f t="array" ref="G54">IFERROR(_xll.FDS($A$1,""&amp;$B54&amp;"("&amp;(CHOOSE($F$1,$Z$4,$AA$4))&amp;","&amp;G$7&amp;",,,,"&amp;$H$1&amp;")"),"")</f>
        <v/>
      </c>
      <c r="H54" s="48" t="str" cm="1">
        <f t="array" ref="H54">IFERROR(_xll.FDS($A$1,""&amp;$B54&amp;"("&amp;(CHOOSE($F$1,$Z$4,$AA$4))&amp;","&amp;H$7&amp;",,,,"&amp;$H$1&amp;")"),"")</f>
        <v/>
      </c>
      <c r="I54" s="48" t="str" cm="1">
        <f t="array" ref="I54">IFERROR(_xll.FDS($A$1,""&amp;$B54&amp;"("&amp;(CHOOSE($F$1,$Z$4,$AA$4))&amp;","&amp;I$7&amp;",,,,"&amp;$H$1&amp;")"),"")</f>
        <v/>
      </c>
      <c r="J54" s="48" t="str" cm="1">
        <f t="array" ref="J54">IFERROR(_xll.FDS($A$1,""&amp;$B54&amp;"("&amp;(CHOOSE($F$1,$Z$4,$AA$4))&amp;","&amp;J$7&amp;",,,,"&amp;$H$1&amp;")"),"")</f>
        <v/>
      </c>
      <c r="K54" s="48" t="str" cm="1">
        <f t="array" ref="K54">IFERROR(_xll.FDS($A$1,""&amp;$B54&amp;"("&amp;(CHOOSE($F$1,$Z$4,$AA$4))&amp;","&amp;K$7&amp;",,,,"&amp;$H$1&amp;")"),"")</f>
        <v/>
      </c>
      <c r="L54" s="48" t="str" cm="1">
        <f t="array" ref="L54">IFERROR(_xll.FDS($A$1,""&amp;$B54&amp;"("&amp;(CHOOSE($F$1,$Z$4,$AA$4))&amp;","&amp;L$7&amp;",,,,"&amp;$H$1&amp;")"),"")</f>
        <v/>
      </c>
      <c r="M54" s="48" t="str" cm="1">
        <f t="array" ref="M54">IFERROR(_xll.FDS($A$1,""&amp;$B54&amp;"("&amp;(CHOOSE($F$1,$Z$4,$AA$4))&amp;","&amp;M$7&amp;",,,,"&amp;$H$1&amp;")"),"")</f>
        <v/>
      </c>
      <c r="N54" s="48" t="str" cm="1">
        <f t="array" ref="N54">IFERROR(_xll.FDS($A$1,""&amp;$B54&amp;"("&amp;(CHOOSE($F$1,$Z$4,$AA$4))&amp;","&amp;N$7&amp;",,,,"&amp;$H$1&amp;")"),"")</f>
        <v/>
      </c>
      <c r="O54" s="48" t="str" cm="1">
        <f t="array" ref="O54">IFERROR(_xll.FDS($A$1,""&amp;$B54&amp;"("&amp;(CHOOSE($F$1,$Z$4,$AA$4))&amp;","&amp;O$7&amp;",,,,"&amp;$H$1&amp;")"),"")</f>
        <v/>
      </c>
    </row>
    <row r="55" spans="1:15" x14ac:dyDescent="0.15">
      <c r="A55" s="8" t="s">
        <v>135</v>
      </c>
      <c r="B55" t="s">
        <v>215</v>
      </c>
      <c r="E55" s="48" cm="1">
        <f t="array" ref="E55">IFERROR(_xll.FDS($A$1,""&amp;$B55&amp;"("&amp;(CHOOSE($F$1,$Z$4,$AA$4))&amp;","&amp;E$7&amp;",,,,"&amp;$H$1&amp;")"),"")</f>
        <v>678.4</v>
      </c>
      <c r="F55" s="48" cm="1">
        <f t="array" ref="F55">IFERROR(_xll.FDS($A$1,""&amp;$B55&amp;"("&amp;(CHOOSE($F$1,$Z$4,$AA$4))&amp;","&amp;F$7&amp;",,,,"&amp;$H$1&amp;")"),"")</f>
        <v>306.89999999999998</v>
      </c>
      <c r="G55" s="48" cm="1">
        <f t="array" ref="G55">IFERROR(_xll.FDS($A$1,""&amp;$B55&amp;"("&amp;(CHOOSE($F$1,$Z$4,$AA$4))&amp;","&amp;G$7&amp;",,,,"&amp;$H$1&amp;")"),"")</f>
        <v>945.4</v>
      </c>
      <c r="H55" s="48" cm="1">
        <f t="array" ref="H55">IFERROR(_xll.FDS($A$1,""&amp;$B55&amp;"("&amp;(CHOOSE($F$1,$Z$4,$AA$4))&amp;","&amp;H$7&amp;",,,,"&amp;$H$1&amp;")"),"")</f>
        <v>475.8</v>
      </c>
      <c r="I55" s="48" cm="1">
        <f t="array" ref="I55">IFERROR(_xll.FDS($A$1,""&amp;$B55&amp;"("&amp;(CHOOSE($F$1,$Z$4,$AA$4))&amp;","&amp;I$7&amp;",,,,"&amp;$H$1&amp;")"),"")</f>
        <v>294.89999999999998</v>
      </c>
      <c r="J55" s="48" cm="1">
        <f t="array" ref="J55">IFERROR(_xll.FDS($A$1,""&amp;$B55&amp;"("&amp;(CHOOSE($F$1,$Z$4,$AA$4))&amp;","&amp;J$7&amp;",,,,"&amp;$H$1&amp;")"),"")</f>
        <v>306.89999999999998</v>
      </c>
      <c r="K55" s="48" cm="1">
        <f t="array" ref="K55">IFERROR(_xll.FDS($A$1,""&amp;$B55&amp;"("&amp;(CHOOSE($F$1,$Z$4,$AA$4))&amp;","&amp;K$7&amp;",,,,"&amp;$H$1&amp;")"),"")</f>
        <v>1083.3</v>
      </c>
      <c r="L55" s="48" cm="1">
        <f t="array" ref="L55">IFERROR(_xll.FDS($A$1,""&amp;$B55&amp;"("&amp;(CHOOSE($F$1,$Z$4,$AA$4))&amp;","&amp;L$7&amp;",,,,"&amp;$H$1&amp;")"),"")</f>
        <v>745.9</v>
      </c>
      <c r="M55" s="48" cm="1">
        <f t="array" ref="M55">IFERROR(_xll.FDS($A$1,""&amp;$B55&amp;"("&amp;(CHOOSE($F$1,$Z$4,$AA$4))&amp;","&amp;M$7&amp;",,,,"&amp;$H$1&amp;")"),"")</f>
        <v>2095.1</v>
      </c>
      <c r="N55" s="48" cm="1">
        <f t="array" ref="N55">IFERROR(_xll.FDS($A$1,""&amp;$B55&amp;"("&amp;(CHOOSE($F$1,$Z$4,$AA$4))&amp;","&amp;N$7&amp;",,,,"&amp;$H$1&amp;")"),"")</f>
        <v>1152.5999999999999</v>
      </c>
      <c r="O55" s="48" cm="1">
        <f t="array" ref="O55">IFERROR(_xll.FDS($A$1,""&amp;$B55&amp;"("&amp;(CHOOSE($F$1,$Z$4,$AA$4))&amp;","&amp;O$7&amp;",,,,"&amp;$H$1&amp;")"),"")</f>
        <v>161.5</v>
      </c>
    </row>
    <row r="56" spans="1:15" x14ac:dyDescent="0.15">
      <c r="A56" s="41" t="s">
        <v>136</v>
      </c>
      <c r="B56" t="s">
        <v>216</v>
      </c>
      <c r="E56" s="49" cm="1">
        <f t="array" ref="E56">IFERROR(_xll.FDS($A$1,""&amp;$B56&amp;"("&amp;(CHOOSE($F$1,$Z$4,#REF!))&amp;","&amp;E$7&amp;",,,,"&amp;$H$1&amp;")"),"")</f>
        <v>1379.6</v>
      </c>
      <c r="F56" s="49" cm="1">
        <f t="array" ref="F56">IFERROR(_xll.FDS($A$1,""&amp;$B56&amp;"("&amp;(CHOOSE($F$1,$Z$4,#REF!))&amp;","&amp;F$7&amp;",,,,"&amp;$H$1&amp;")"),"")</f>
        <v>1031.5</v>
      </c>
      <c r="G56" s="49" cm="1">
        <f t="array" ref="G56">IFERROR(_xll.FDS($A$1,""&amp;$B56&amp;"("&amp;(CHOOSE($F$1,$Z$4,#REF!))&amp;","&amp;G$7&amp;",,,,"&amp;$H$1&amp;")"),"")</f>
        <v>1223.5999999999999</v>
      </c>
      <c r="H56" s="49" cm="1">
        <f t="array" ref="H56">IFERROR(_xll.FDS($A$1,""&amp;$B56&amp;"("&amp;(CHOOSE($F$1,$Z$4,#REF!))&amp;","&amp;H$7&amp;",,,,"&amp;$H$1&amp;")"),"")</f>
        <v>1292.0999999999999</v>
      </c>
      <c r="I56" s="49" cm="1">
        <f t="array" ref="I56">IFERROR(_xll.FDS($A$1,""&amp;$B56&amp;"("&amp;(CHOOSE($F$1,$Z$4,#REF!))&amp;","&amp;I$7&amp;",,,,"&amp;$H$1&amp;")"),"")</f>
        <v>1116.0999999999999</v>
      </c>
      <c r="J56" s="49" cm="1">
        <f t="array" ref="J56">IFERROR(_xll.FDS($A$1,""&amp;$B56&amp;"("&amp;(CHOOSE($F$1,$Z$4,#REF!))&amp;","&amp;J$7&amp;",,,,"&amp;$H$1&amp;")"),"")</f>
        <v>1164.0999999999999</v>
      </c>
      <c r="K56" s="49" cm="1">
        <f t="array" ref="K56">IFERROR(_xll.FDS($A$1,""&amp;$B56&amp;"("&amp;(CHOOSE($F$1,$Z$4,#REF!))&amp;","&amp;K$7&amp;",,,,"&amp;$H$1&amp;")"),"")</f>
        <v>1536.5</v>
      </c>
      <c r="L56" s="49" cm="1">
        <f t="array" ref="L56">IFERROR(_xll.FDS($A$1,""&amp;$B56&amp;"("&amp;(CHOOSE($F$1,$Z$4,#REF!))&amp;","&amp;L$7&amp;",,,,"&amp;$H$1&amp;")"),"")</f>
        <v>1741.6</v>
      </c>
      <c r="M56" s="49" cm="1">
        <f t="array" ref="M56">IFERROR(_xll.FDS($A$1,""&amp;$B56&amp;"("&amp;(CHOOSE($F$1,$Z$4,#REF!))&amp;","&amp;M$7&amp;",,,,"&amp;$H$1&amp;")"),"")</f>
        <v>597.5</v>
      </c>
      <c r="N56" s="49" cm="1">
        <f t="array" ref="N56">IFERROR(_xll.FDS($A$1,""&amp;$B56&amp;"("&amp;(CHOOSE($F$1,$Z$4,#REF!))&amp;","&amp;N$7&amp;",,,,"&amp;$H$1&amp;")"),"")</f>
        <v>1387.5</v>
      </c>
      <c r="O56" s="49" cm="1">
        <f t="array" ref="O56">IFERROR(_xll.FDS($A$1,""&amp;$B56&amp;"("&amp;(CHOOSE($F$1,$Z$4,#REF!))&amp;","&amp;O$7&amp;",,,,"&amp;$H$1&amp;")"),"")</f>
        <v>1418.7</v>
      </c>
    </row>
    <row r="57" spans="1:15" x14ac:dyDescent="0.15">
      <c r="A57" s="41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</row>
    <row r="58" spans="1:15" x14ac:dyDescent="0.15">
      <c r="A58" s="41" t="s">
        <v>138</v>
      </c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x14ac:dyDescent="0.15">
      <c r="A59" s="70" t="s">
        <v>139</v>
      </c>
      <c r="B59" t="s">
        <v>217</v>
      </c>
      <c r="E59" s="48" cm="1">
        <f t="array" ref="E59">-IFERROR(_xll.FDS($A$1,""&amp;$B59&amp;"("&amp;(CHOOSE($F$1,$Z$4,$AA$4))&amp;","&amp;E$7&amp;",,,,"&amp;$H$1&amp;")"),"")</f>
        <v>0</v>
      </c>
      <c r="F59" s="48" cm="1">
        <f t="array" ref="F59">-IFERROR(_xll.FDS($A$1,""&amp;$B59&amp;"("&amp;(CHOOSE($F$1,$Z$4,$AA$4))&amp;","&amp;F$7&amp;",,,,"&amp;$H$1&amp;")"),"")</f>
        <v>-105.5</v>
      </c>
      <c r="G59" s="48" cm="1">
        <f t="array" ref="G59">-IFERROR(_xll.FDS($A$1,""&amp;$B59&amp;"("&amp;(CHOOSE($F$1,$Z$4,$AA$4))&amp;","&amp;G$7&amp;",,,,"&amp;$H$1&amp;")"),"")</f>
        <v>-114.5</v>
      </c>
      <c r="H59" s="48" cm="1">
        <f t="array" ref="H59">-IFERROR(_xll.FDS($A$1,""&amp;$B59&amp;"("&amp;(CHOOSE($F$1,$Z$4,$AA$4))&amp;","&amp;H$7&amp;",,,,"&amp;$H$1&amp;")"),"")</f>
        <v>-100.2</v>
      </c>
      <c r="I59" s="48" cm="1">
        <f t="array" ref="I59">-IFERROR(_xll.FDS($A$1,""&amp;$B59&amp;"("&amp;(CHOOSE($F$1,$Z$4,$AA$4))&amp;","&amp;I$7&amp;",,,,"&amp;$H$1&amp;")"),"")</f>
        <v>-85</v>
      </c>
      <c r="J59" s="48" cm="1">
        <f t="array" ref="J59">-IFERROR(_xll.FDS($A$1,""&amp;$B59&amp;"("&amp;(CHOOSE($F$1,$Z$4,$AA$4))&amp;","&amp;J$7&amp;",,,,"&amp;$H$1&amp;")"),"")</f>
        <v>-105.3</v>
      </c>
      <c r="K59" s="48" cm="1">
        <f t="array" ref="K59">-IFERROR(_xll.FDS($A$1,""&amp;$B59&amp;"("&amp;(CHOOSE($F$1,$Z$4,$AA$4))&amp;","&amp;K$7&amp;",,,,"&amp;$H$1&amp;")"),"")</f>
        <v>-144.1</v>
      </c>
      <c r="L59" s="48" cm="1">
        <f t="array" ref="L59">-IFERROR(_xll.FDS($A$1,""&amp;$B59&amp;"("&amp;(CHOOSE($F$1,$Z$4,$AA$4))&amp;","&amp;L$7&amp;",,,,"&amp;$H$1&amp;")"),"")</f>
        <v>-150.9</v>
      </c>
      <c r="M59" s="48" cm="1">
        <f t="array" ref="M59">-IFERROR(_xll.FDS($A$1,""&amp;$B59&amp;"("&amp;(CHOOSE($F$1,$Z$4,$AA$4))&amp;","&amp;M$7&amp;",,,,"&amp;$H$1&amp;")"),"")</f>
        <v>-119.1</v>
      </c>
      <c r="N59" s="48" cm="1">
        <f t="array" ref="N59">-IFERROR(_xll.FDS($A$1,""&amp;$B59&amp;"("&amp;(CHOOSE($F$1,$Z$4,$AA$4))&amp;","&amp;N$7&amp;",,,,"&amp;$H$1&amp;")"),"")</f>
        <v>-110.3</v>
      </c>
      <c r="O59" s="48" cm="1">
        <f t="array" ref="O59">-IFERROR(_xll.FDS($A$1,""&amp;$B59&amp;"("&amp;(CHOOSE($F$1,$Z$4,$AA$4))&amp;","&amp;O$7&amp;",,,,"&amp;$H$1&amp;")"),"")</f>
        <v>-102.2</v>
      </c>
    </row>
    <row r="60" spans="1:15" x14ac:dyDescent="0.15">
      <c r="A60" s="44" t="s">
        <v>141</v>
      </c>
      <c r="B60" t="s">
        <v>218</v>
      </c>
      <c r="E60" s="48" cm="1">
        <f t="array" ref="E60">-IFERROR(_xll.FDS($A$1,""&amp;$B60&amp;"("&amp;(CHOOSE($F$1,$U$4,$V$4))&amp;","&amp;E$7&amp;",,,,"&amp;$H$1&amp;")"),"")</f>
        <v>0</v>
      </c>
      <c r="F60" s="48" cm="1">
        <f t="array" ref="F60">-IFERROR(_xll.FDS($A$1,""&amp;$B60&amp;"("&amp;(CHOOSE($F$1,$U$4,$V$4))&amp;","&amp;F$7&amp;",,,,"&amp;$H$1&amp;")"),"")</f>
        <v>0</v>
      </c>
      <c r="G60" s="48" cm="1">
        <f t="array" ref="G60">-IFERROR(_xll.FDS($A$1,""&amp;$B60&amp;"("&amp;(CHOOSE($F$1,$U$4,$V$4))&amp;","&amp;G$7&amp;",,,,"&amp;$H$1&amp;")"),"")</f>
        <v>0</v>
      </c>
      <c r="H60" s="48" cm="1">
        <f t="array" ref="H60">-IFERROR(_xll.FDS($A$1,""&amp;$B60&amp;"("&amp;(CHOOSE($F$1,$U$4,$V$4))&amp;","&amp;H$7&amp;",,,,"&amp;$H$1&amp;")"),"")</f>
        <v>-54.3</v>
      </c>
      <c r="I60" s="48" cm="1">
        <f t="array" ref="I60">-IFERROR(_xll.FDS($A$1,""&amp;$B60&amp;"("&amp;(CHOOSE($F$1,$U$4,$V$4))&amp;","&amp;I$7&amp;",,,,"&amp;$H$1&amp;")"),"")</f>
        <v>-129.19999999999999</v>
      </c>
      <c r="J60" s="48" cm="1">
        <f t="array" ref="J60">-IFERROR(_xll.FDS($A$1,""&amp;$B60&amp;"("&amp;(CHOOSE($F$1,$U$4,$V$4))&amp;","&amp;J$7&amp;",,,,"&amp;$H$1&amp;")"),"")</f>
        <v>0</v>
      </c>
      <c r="K60" s="48" cm="1">
        <f t="array" ref="K60">-IFERROR(_xll.FDS($A$1,""&amp;$B60&amp;"("&amp;(CHOOSE($F$1,$U$4,$V$4))&amp;","&amp;K$7&amp;",,,,"&amp;$H$1&amp;")"),"")</f>
        <v>-145.4</v>
      </c>
      <c r="L60" s="48" cm="1">
        <f t="array" ref="L60">-IFERROR(_xll.FDS($A$1,""&amp;$B60&amp;"("&amp;(CHOOSE($F$1,$U$4,$V$4))&amp;","&amp;L$7&amp;",,,,"&amp;$H$1&amp;")"),"")</f>
        <v>0</v>
      </c>
      <c r="M60" s="48" cm="1">
        <f t="array" ref="M60">-IFERROR(_xll.FDS($A$1,""&amp;$B60&amp;"("&amp;(CHOOSE($F$1,$U$4,$V$4))&amp;","&amp;M$7&amp;",,,,"&amp;$H$1&amp;")"),"")</f>
        <v>0</v>
      </c>
      <c r="N60" s="48" cm="1">
        <f t="array" ref="N60">-IFERROR(_xll.FDS($A$1,""&amp;$B60&amp;"("&amp;(CHOOSE($F$1,$U$4,$V$4))&amp;","&amp;N$7&amp;",,,,"&amp;$H$1&amp;")"),"")</f>
        <v>0</v>
      </c>
      <c r="O60" s="48" cm="1">
        <f t="array" ref="O60">-IFERROR(_xll.FDS($A$1,""&amp;$B60&amp;"("&amp;(CHOOSE($F$1,$U$4,$V$4))&amp;","&amp;O$7&amp;",,,,"&amp;$H$1&amp;")"),"")</f>
        <v>0</v>
      </c>
    </row>
    <row r="61" spans="1:15" x14ac:dyDescent="0.15">
      <c r="A61" s="44" t="s">
        <v>142</v>
      </c>
      <c r="B61" t="s">
        <v>219</v>
      </c>
      <c r="E61" s="48" cm="1">
        <f t="array" ref="E61">IFERROR(_xll.FDS($A$1,""&amp;$B61&amp;"("&amp;(CHOOSE($F$1,$U$4,$V$4))&amp;","&amp;E$7&amp;",,,,"&amp;$H$1&amp;")"),"")</f>
        <v>0</v>
      </c>
      <c r="F61" s="48" cm="1">
        <f t="array" ref="F61">IFERROR(_xll.FDS($A$1,""&amp;$B61&amp;"("&amp;(CHOOSE($F$1,$U$4,$V$4))&amp;","&amp;F$7&amp;",,,,"&amp;$H$1&amp;")"),"")</f>
        <v>0</v>
      </c>
      <c r="G61" s="48" cm="1">
        <f t="array" ref="G61">IFERROR(_xll.FDS($A$1,""&amp;$B61&amp;"("&amp;(CHOOSE($F$1,$U$4,$V$4))&amp;","&amp;G$7&amp;",,,,"&amp;$H$1&amp;")"),"")</f>
        <v>0</v>
      </c>
      <c r="H61" s="48" cm="1">
        <f t="array" ref="H61">IFERROR(_xll.FDS($A$1,""&amp;$B61&amp;"("&amp;(CHOOSE($F$1,$U$4,$V$4))&amp;","&amp;H$7&amp;",,,,"&amp;$H$1&amp;")"),"")</f>
        <v>0</v>
      </c>
      <c r="I61" s="48" cm="1">
        <f t="array" ref="I61">IFERROR(_xll.FDS($A$1,""&amp;$B61&amp;"("&amp;(CHOOSE($F$1,$U$4,$V$4))&amp;","&amp;I$7&amp;",,,,"&amp;$H$1&amp;")"),"")</f>
        <v>0</v>
      </c>
      <c r="J61" s="48" cm="1">
        <f t="array" ref="J61">IFERROR(_xll.FDS($A$1,""&amp;$B61&amp;"("&amp;(CHOOSE($F$1,$U$4,$V$4))&amp;","&amp;J$7&amp;",,,,"&amp;$H$1&amp;")"),"")</f>
        <v>0</v>
      </c>
      <c r="K61" s="48" cm="1">
        <f t="array" ref="K61">IFERROR(_xll.FDS($A$1,""&amp;$B61&amp;"("&amp;(CHOOSE($F$1,$U$4,$V$4))&amp;","&amp;K$7&amp;",,,,"&amp;$H$1&amp;")"),"")</f>
        <v>0</v>
      </c>
      <c r="L61" s="48" cm="1">
        <f t="array" ref="L61">IFERROR(_xll.FDS($A$1,""&amp;$B61&amp;"("&amp;(CHOOSE($F$1,$U$4,$V$4))&amp;","&amp;L$7&amp;",,,,"&amp;$H$1&amp;")"),"")</f>
        <v>0</v>
      </c>
      <c r="M61" s="48" cm="1">
        <f t="array" ref="M61">IFERROR(_xll.FDS($A$1,""&amp;$B61&amp;"("&amp;(CHOOSE($F$1,$U$4,$V$4))&amp;","&amp;M$7&amp;",,,,"&amp;$H$1&amp;")"),"")</f>
        <v>0</v>
      </c>
      <c r="N61" s="48" cm="1">
        <f t="array" ref="N61">IFERROR(_xll.FDS($A$1,""&amp;$B61&amp;"("&amp;(CHOOSE($F$1,$U$4,$V$4))&amp;","&amp;N$7&amp;",,,,"&amp;$H$1&amp;")"),"")</f>
        <v>0</v>
      </c>
      <c r="O61" s="48" cm="1">
        <f t="array" ref="O61">IFERROR(_xll.FDS($A$1,""&amp;$B61&amp;"("&amp;(CHOOSE($F$1,$U$4,$V$4))&amp;","&amp;O$7&amp;",,,,"&amp;$H$1&amp;")"),"")</f>
        <v>0</v>
      </c>
    </row>
    <row r="62" spans="1:15" x14ac:dyDescent="0.15">
      <c r="A62" s="45" t="s">
        <v>143</v>
      </c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x14ac:dyDescent="0.15">
      <c r="A63" s="71" t="s">
        <v>144</v>
      </c>
      <c r="B63" t="s">
        <v>220</v>
      </c>
      <c r="E63" s="48" cm="1">
        <f t="array" ref="E63">-IFERROR(_xll.FDS($A$1,""&amp;$B63&amp;"("&amp;(CHOOSE($F$1,$U$4,$V$4))&amp;","&amp;E$7&amp;",,,,"&amp;$H$1&amp;")"),"")</f>
        <v>-3946.7</v>
      </c>
      <c r="F63" s="48" cm="1">
        <f t="array" ref="F63">-IFERROR(_xll.FDS($A$1,""&amp;$B63&amp;"("&amp;(CHOOSE($F$1,$U$4,$V$4))&amp;","&amp;F$7&amp;",,,,"&amp;$H$1&amp;")"),"")</f>
        <v>-3917.3</v>
      </c>
      <c r="G63" s="48" cm="1">
        <f t="array" ref="G63">-IFERROR(_xll.FDS($A$1,""&amp;$B63&amp;"("&amp;(CHOOSE($F$1,$U$4,$V$4))&amp;","&amp;G$7&amp;",,,,"&amp;$H$1&amp;")"),"")</f>
        <v>-3272.9</v>
      </c>
      <c r="H63" s="48" cm="1">
        <f t="array" ref="H63">-IFERROR(_xll.FDS($A$1,""&amp;$B63&amp;"("&amp;(CHOOSE($F$1,$U$4,$V$4))&amp;","&amp;H$7&amp;",,,,"&amp;$H$1&amp;")"),"")</f>
        <v>-4714.8</v>
      </c>
      <c r="I63" s="48" cm="1">
        <f t="array" ref="I63">-IFERROR(_xll.FDS($A$1,""&amp;$B63&amp;"("&amp;(CHOOSE($F$1,$U$4,$V$4))&amp;","&amp;I$7&amp;",,,,"&amp;$H$1&amp;")"),"")</f>
        <v>-3938.8</v>
      </c>
      <c r="J63" s="48" cm="1">
        <f t="array" ref="J63">-IFERROR(_xll.FDS($A$1,""&amp;$B63&amp;"("&amp;(CHOOSE($F$1,$U$4,$V$4))&amp;","&amp;J$7&amp;",,,,"&amp;$H$1&amp;")"),"")</f>
        <v>-3639.2</v>
      </c>
      <c r="K63" s="48" cm="1">
        <f t="array" ref="K63">-IFERROR(_xll.FDS($A$1,""&amp;$B63&amp;"("&amp;(CHOOSE($F$1,$U$4,$V$4))&amp;","&amp;K$7&amp;",,,,"&amp;$H$1&amp;")"),"")</f>
        <v>-4484.8999999999996</v>
      </c>
      <c r="L63" s="48" cm="1">
        <f t="array" ref="L63">-IFERROR(_xll.FDS($A$1,""&amp;$B63&amp;"("&amp;(CHOOSE($F$1,$U$4,$V$4))&amp;","&amp;L$7&amp;",,,,"&amp;$H$1&amp;")"),"")</f>
        <v>-4858.5</v>
      </c>
      <c r="M63" s="48" cm="1">
        <f t="array" ref="M63">-IFERROR(_xll.FDS($A$1,""&amp;$B63&amp;"("&amp;(CHOOSE($F$1,$U$4,$V$4))&amp;","&amp;M$7&amp;",,,,"&amp;$H$1&amp;")"),"")</f>
        <v>-3743.3</v>
      </c>
      <c r="N63" s="48" cm="1">
        <f t="array" ref="N63">-IFERROR(_xll.FDS($A$1,""&amp;$B63&amp;"("&amp;(CHOOSE($F$1,$U$4,$V$4))&amp;","&amp;N$7&amp;",,,,"&amp;$H$1&amp;")"),"")</f>
        <v>-4713.1000000000004</v>
      </c>
      <c r="O63" s="48" cm="1">
        <f t="array" ref="O63">-IFERROR(_xll.FDS($A$1,""&amp;$B63&amp;"("&amp;(CHOOSE($F$1,$U$4,$V$4))&amp;","&amp;O$7&amp;",,,,"&amp;$H$1&amp;")"),"")</f>
        <v>-3340.8</v>
      </c>
    </row>
    <row r="64" spans="1:15" x14ac:dyDescent="0.15">
      <c r="A64" s="71" t="s">
        <v>145</v>
      </c>
      <c r="B64" t="s">
        <v>221</v>
      </c>
      <c r="E64" s="48" cm="1">
        <f t="array" ref="E64">IFERROR(_xll.FDS($A$1,""&amp;$B64&amp;"("&amp;(CHOOSE($F$1,$U$4,$V$4))&amp;","&amp;E$7&amp;",,,,"&amp;$H$1&amp;")"),"")</f>
        <v>2938.6</v>
      </c>
      <c r="F64" s="48" cm="1">
        <f t="array" ref="F64">IFERROR(_xll.FDS($A$1,""&amp;$B64&amp;"("&amp;(CHOOSE($F$1,$U$4,$V$4))&amp;","&amp;F$7&amp;",,,,"&amp;$H$1&amp;")"),"")</f>
        <v>3982.7</v>
      </c>
      <c r="G64" s="48" cm="1">
        <f t="array" ref="G64">IFERROR(_xll.FDS($A$1,""&amp;$B64&amp;"("&amp;(CHOOSE($F$1,$U$4,$V$4))&amp;","&amp;G$7&amp;",,,,"&amp;$H$1&amp;")"),"")</f>
        <v>2504.5</v>
      </c>
      <c r="H64" s="48" cm="1">
        <f t="array" ref="H64">IFERROR(_xll.FDS($A$1,""&amp;$B64&amp;"("&amp;(CHOOSE($F$1,$U$4,$V$4))&amp;","&amp;H$7&amp;",,,,"&amp;$H$1&amp;")"),"")</f>
        <v>3814.7</v>
      </c>
      <c r="I64" s="48" cm="1">
        <f t="array" ref="I64">IFERROR(_xll.FDS($A$1,""&amp;$B64&amp;"("&amp;(CHOOSE($F$1,$U$4,$V$4))&amp;","&amp;I$7&amp;",,,,"&amp;$H$1&amp;")"),"")</f>
        <v>3452.4</v>
      </c>
      <c r="J64" s="48" cm="1">
        <f t="array" ref="J64">IFERROR(_xll.FDS($A$1,""&amp;$B64&amp;"("&amp;(CHOOSE($F$1,$U$4,$V$4))&amp;","&amp;J$7&amp;",,,,"&amp;$H$1&amp;")"),"")</f>
        <v>3255</v>
      </c>
      <c r="K64" s="48" cm="1">
        <f t="array" ref="K64">IFERROR(_xll.FDS($A$1,""&amp;$B64&amp;"("&amp;(CHOOSE($F$1,$U$4,$V$4))&amp;","&amp;K$7&amp;",,,,"&amp;$H$1&amp;")"),"")</f>
        <v>4112.3999999999996</v>
      </c>
      <c r="L64" s="48" cm="1">
        <f t="array" ref="L64">IFERROR(_xll.FDS($A$1,""&amp;$B64&amp;"("&amp;(CHOOSE($F$1,$U$4,$V$4))&amp;","&amp;L$7&amp;",,,,"&amp;$H$1&amp;")"),"")</f>
        <v>3719.7</v>
      </c>
      <c r="M64" s="48" cm="1">
        <f t="array" ref="M64">IFERROR(_xll.FDS($A$1,""&amp;$B64&amp;"("&amp;(CHOOSE($F$1,$U$4,$V$4))&amp;","&amp;M$7&amp;",,,,"&amp;$H$1&amp;")"),"")</f>
        <v>3280.2</v>
      </c>
      <c r="N64" s="48" cm="1">
        <f t="array" ref="N64">IFERROR(_xll.FDS($A$1,""&amp;$B64&amp;"("&amp;(CHOOSE($F$1,$U$4,$V$4))&amp;","&amp;N$7&amp;",,,,"&amp;$H$1&amp;")"),"")</f>
        <v>3533.5</v>
      </c>
      <c r="O64" s="48" cm="1">
        <f t="array" ref="O64">IFERROR(_xll.FDS($A$1,""&amp;$B64&amp;"("&amp;(CHOOSE($F$1,$U$4,$V$4))&amp;","&amp;O$7&amp;",,,,"&amp;$H$1&amp;")"),"")</f>
        <v>2537.9</v>
      </c>
    </row>
    <row r="65" spans="1:15" x14ac:dyDescent="0.15">
      <c r="A65" s="45" t="s">
        <v>134</v>
      </c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x14ac:dyDescent="0.15">
      <c r="A66" s="71" t="s">
        <v>146</v>
      </c>
      <c r="B66" t="s">
        <v>222</v>
      </c>
      <c r="E66" s="48" cm="1">
        <f t="array" ref="E66">-IFERROR(_xll.FDS($A$1,""&amp;$B66&amp;"("&amp;(CHOOSE($F$1,$U$4,$V$4))&amp;","&amp;E$7&amp;",,,,"&amp;$H$1&amp;")"),"")</f>
        <v>-105.3</v>
      </c>
      <c r="F66" s="48" cm="1">
        <f t="array" ref="F66">-IFERROR(_xll.FDS($A$1,""&amp;$B66&amp;"("&amp;(CHOOSE($F$1,$U$4,$V$4))&amp;","&amp;F$7&amp;",,,,"&amp;$H$1&amp;")"),"")</f>
        <v>0</v>
      </c>
      <c r="G66" s="48" cm="1">
        <f t="array" ref="G66">-IFERROR(_xll.FDS($A$1,""&amp;$B66&amp;"("&amp;(CHOOSE($F$1,$U$4,$V$4))&amp;","&amp;G$7&amp;",,,,"&amp;$H$1&amp;")"),"")</f>
        <v>-3.7</v>
      </c>
      <c r="H66" s="48" cm="1">
        <f t="array" ref="H66">-IFERROR(_xll.FDS($A$1,""&amp;$B66&amp;"("&amp;(CHOOSE($F$1,$U$4,$V$4))&amp;","&amp;H$7&amp;",,,,"&amp;$H$1&amp;")"),"")</f>
        <v>0</v>
      </c>
      <c r="I66" s="48" cm="1">
        <f t="array" ref="I66">-IFERROR(_xll.FDS($A$1,""&amp;$B66&amp;"("&amp;(CHOOSE($F$1,$U$4,$V$4))&amp;","&amp;I$7&amp;",,,,"&amp;$H$1&amp;")"),"")</f>
        <v>-9.4</v>
      </c>
      <c r="J66" s="48" cm="1">
        <f t="array" ref="J66">-IFERROR(_xll.FDS($A$1,""&amp;$B66&amp;"("&amp;(CHOOSE($F$1,$U$4,$V$4))&amp;","&amp;J$7&amp;",,,,"&amp;$H$1&amp;")"),"")</f>
        <v>-9.8000000000000007</v>
      </c>
      <c r="K66" s="48" cm="1">
        <f t="array" ref="K66">-IFERROR(_xll.FDS($A$1,""&amp;$B66&amp;"("&amp;(CHOOSE($F$1,$U$4,$V$4))&amp;","&amp;K$7&amp;",,,,"&amp;$H$1&amp;")"),"")</f>
        <v>-268.10000000000002</v>
      </c>
      <c r="L66" s="48" cm="1">
        <f t="array" ref="L66">-IFERROR(_xll.FDS($A$1,""&amp;$B66&amp;"("&amp;(CHOOSE($F$1,$U$4,$V$4))&amp;","&amp;L$7&amp;",,,,"&amp;$H$1&amp;")"),"")</f>
        <v>-103.8</v>
      </c>
      <c r="M66" s="48" cm="1">
        <f t="array" ref="M66">-IFERROR(_xll.FDS($A$1,""&amp;$B66&amp;"("&amp;(CHOOSE($F$1,$U$4,$V$4))&amp;","&amp;M$7&amp;",,,,"&amp;$H$1&amp;")"),"")</f>
        <v>0</v>
      </c>
      <c r="N66" s="48" cm="1">
        <f t="array" ref="N66">-IFERROR(_xll.FDS($A$1,""&amp;$B66&amp;"("&amp;(CHOOSE($F$1,$U$4,$V$4))&amp;","&amp;N$7&amp;",,,,"&amp;$H$1&amp;")"),"")</f>
        <v>-50.7</v>
      </c>
      <c r="O66" s="48" cm="1">
        <f t="array" ref="O66">-IFERROR(_xll.FDS($A$1,""&amp;$B66&amp;"("&amp;(CHOOSE($F$1,$U$4,$V$4))&amp;","&amp;O$7&amp;",,,,"&amp;$H$1&amp;")"),"")</f>
        <v>-50.8</v>
      </c>
    </row>
    <row r="67" spans="1:15" x14ac:dyDescent="0.15">
      <c r="A67" s="71" t="s">
        <v>147</v>
      </c>
      <c r="B67" t="s">
        <v>223</v>
      </c>
      <c r="E67" s="48" cm="1">
        <f t="array" ref="E67">IFERROR(_xll.FDS($A$1,""&amp;$B67&amp;"("&amp;(CHOOSE($F$1,$U$4,$V$4))&amp;","&amp;E$7&amp;",,,,"&amp;$H$1&amp;")"),"")</f>
        <v>0</v>
      </c>
      <c r="F67" s="48" cm="1">
        <f t="array" ref="F67">IFERROR(_xll.FDS($A$1,""&amp;$B67&amp;"("&amp;(CHOOSE($F$1,$U$4,$V$4))&amp;","&amp;F$7&amp;",,,,"&amp;$H$1&amp;")"),"")</f>
        <v>0.2</v>
      </c>
      <c r="G67" s="48" cm="1">
        <f t="array" ref="G67">IFERROR(_xll.FDS($A$1,""&amp;$B67&amp;"("&amp;(CHOOSE($F$1,$U$4,$V$4))&amp;","&amp;G$7&amp;",,,,"&amp;$H$1&amp;")"),"")</f>
        <v>0</v>
      </c>
      <c r="H67" s="48" cm="1">
        <f t="array" ref="H67">IFERROR(_xll.FDS($A$1,""&amp;$B67&amp;"("&amp;(CHOOSE($F$1,$U$4,$V$4))&amp;","&amp;H$7&amp;",,,,"&amp;$H$1&amp;")"),"")</f>
        <v>341.6</v>
      </c>
      <c r="I67" s="48" cm="1">
        <f t="array" ref="I67">IFERROR(_xll.FDS($A$1,""&amp;$B67&amp;"("&amp;(CHOOSE($F$1,$U$4,$V$4))&amp;","&amp;I$7&amp;",,,,"&amp;$H$1&amp;")"),"")</f>
        <v>0</v>
      </c>
      <c r="J67" s="48" cm="1">
        <f t="array" ref="J67">IFERROR(_xll.FDS($A$1,""&amp;$B67&amp;"("&amp;(CHOOSE($F$1,$U$4,$V$4))&amp;","&amp;J$7&amp;",,,,"&amp;$H$1&amp;")"),"")</f>
        <v>0</v>
      </c>
      <c r="K67" s="48" cm="1">
        <f t="array" ref="K67">IFERROR(_xll.FDS($A$1,""&amp;$B67&amp;"("&amp;(CHOOSE($F$1,$U$4,$V$4))&amp;","&amp;K$7&amp;",,,,"&amp;$H$1&amp;")"),"")</f>
        <v>0</v>
      </c>
      <c r="L67" s="48" cm="1">
        <f t="array" ref="L67">IFERROR(_xll.FDS($A$1,""&amp;$B67&amp;"("&amp;(CHOOSE($F$1,$U$4,$V$4))&amp;","&amp;L$7&amp;",,,,"&amp;$H$1&amp;")"),"")</f>
        <v>0</v>
      </c>
      <c r="M67" s="48" cm="1">
        <f t="array" ref="M67">IFERROR(_xll.FDS($A$1,""&amp;$B67&amp;"("&amp;(CHOOSE($F$1,$U$4,$V$4))&amp;","&amp;M$7&amp;",,,,"&amp;$H$1&amp;")"),"")</f>
        <v>314.5</v>
      </c>
      <c r="N67" s="48" cm="1">
        <f t="array" ref="N67">IFERROR(_xll.FDS($A$1,""&amp;$B67&amp;"("&amp;(CHOOSE($F$1,$U$4,$V$4))&amp;","&amp;N$7&amp;",,,,"&amp;$H$1&amp;")"),"")</f>
        <v>0</v>
      </c>
      <c r="O67" s="48" cm="1">
        <f t="array" ref="O67">IFERROR(_xll.FDS($A$1,""&amp;$B67&amp;"("&amp;(CHOOSE($F$1,$U$4,$V$4))&amp;","&amp;O$7&amp;",,,,"&amp;$H$1&amp;")"),"")</f>
        <v>0</v>
      </c>
    </row>
    <row r="68" spans="1:15" x14ac:dyDescent="0.15">
      <c r="A68" s="41" t="s">
        <v>148</v>
      </c>
      <c r="B68" t="s">
        <v>224</v>
      </c>
      <c r="E68" s="49" cm="1">
        <f t="array" ref="E68">IFERROR(_xll.FDS($A$1,""&amp;$B68&amp;"("&amp;(CHOOSE($F$1,$Z$4,#REF!))&amp;","&amp;E$7&amp;",,,,"&amp;$H$1&amp;")"),"")</f>
        <v>-1113.4000000000001</v>
      </c>
      <c r="F68" s="49" cm="1">
        <f t="array" ref="F68">IFERROR(_xll.FDS($A$1,""&amp;$B68&amp;"("&amp;(CHOOSE($F$1,$Z$4,#REF!))&amp;","&amp;F$7&amp;",,,,"&amp;$H$1&amp;")"),"")</f>
        <v>-39.9</v>
      </c>
      <c r="G68" s="49" cm="1">
        <f t="array" ref="G68">IFERROR(_xll.FDS($A$1,""&amp;$B68&amp;"("&amp;(CHOOSE($F$1,$Z$4,#REF!))&amp;","&amp;G$7&amp;",,,,"&amp;$H$1&amp;")"),"")</f>
        <v>-886.6</v>
      </c>
      <c r="H68" s="49" cm="1">
        <f t="array" ref="H68">IFERROR(_xll.FDS($A$1,""&amp;$B68&amp;"("&amp;(CHOOSE($F$1,$Z$4,#REF!))&amp;","&amp;H$7&amp;",,,,"&amp;$H$1&amp;")"),"")</f>
        <v>-713</v>
      </c>
      <c r="I68" s="49" cm="1">
        <f t="array" ref="I68">IFERROR(_xll.FDS($A$1,""&amp;$B68&amp;"("&amp;(CHOOSE($F$1,$Z$4,#REF!))&amp;","&amp;I$7&amp;",,,,"&amp;$H$1&amp;")"),"")</f>
        <v>-710</v>
      </c>
      <c r="J68" s="49" cm="1">
        <f t="array" ref="J68">IFERROR(_xll.FDS($A$1,""&amp;$B68&amp;"("&amp;(CHOOSE($F$1,$Z$4,#REF!))&amp;","&amp;J$7&amp;",,,,"&amp;$H$1&amp;")"),"")</f>
        <v>-499.3</v>
      </c>
      <c r="K68" s="49" cm="1">
        <f t="array" ref="K68">IFERROR(_xll.FDS($A$1,""&amp;$B68&amp;"("&amp;(CHOOSE($F$1,$Z$4,#REF!))&amp;","&amp;K$7&amp;",,,,"&amp;$H$1&amp;")"),"")</f>
        <v>-930.1</v>
      </c>
      <c r="L68" s="49" cm="1">
        <f t="array" ref="L68">IFERROR(_xll.FDS($A$1,""&amp;$B68&amp;"("&amp;(CHOOSE($F$1,$Z$4,#REF!))&amp;","&amp;L$7&amp;",,,,"&amp;$H$1&amp;")"),"")</f>
        <v>-1393.5</v>
      </c>
      <c r="M68" s="49" cm="1">
        <f t="array" ref="M68">IFERROR(_xll.FDS($A$1,""&amp;$B68&amp;"("&amp;(CHOOSE($F$1,$Z$4,#REF!))&amp;","&amp;M$7&amp;",,,,"&amp;$H$1&amp;")"),"")</f>
        <v>-267.7</v>
      </c>
      <c r="N68" s="49" cm="1">
        <f t="array" ref="N68">IFERROR(_xll.FDS($A$1,""&amp;$B68&amp;"("&amp;(CHOOSE($F$1,$Z$4,#REF!))&amp;","&amp;N$7&amp;",,,,"&amp;$H$1&amp;")"),"")</f>
        <v>-1340.6</v>
      </c>
      <c r="O68" s="49" cm="1">
        <f t="array" ref="O68">IFERROR(_xll.FDS($A$1,""&amp;$B68&amp;"("&amp;(CHOOSE($F$1,$Z$4,#REF!))&amp;","&amp;O$7&amp;",,,,"&amp;$H$1&amp;")"),"")</f>
        <v>-955.9</v>
      </c>
    </row>
    <row r="69" spans="1:15" x14ac:dyDescent="0.15">
      <c r="A69" s="2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</row>
    <row r="70" spans="1:15" x14ac:dyDescent="0.15">
      <c r="A70" s="41" t="s">
        <v>154</v>
      </c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</row>
    <row r="71" spans="1:15" x14ac:dyDescent="0.15">
      <c r="A71" s="2" t="s">
        <v>155</v>
      </c>
      <c r="B71" t="s">
        <v>225</v>
      </c>
      <c r="E71" s="48" cm="1">
        <f t="array" ref="E71">-IFERROR(_xll.FDS($A$1,""&amp;$B71&amp;"("&amp;(CHOOSE($F$1,$Z$4,#REF!))&amp;","&amp;E$7&amp;",,,,"&amp;$H$1&amp;")"),"")</f>
        <v>-133.80000000000001</v>
      </c>
      <c r="F71" s="48" cm="1">
        <f t="array" ref="F71">-IFERROR(_xll.FDS($A$1,""&amp;$B71&amp;"("&amp;(CHOOSE($F$1,$Z$4,#REF!))&amp;","&amp;F$7&amp;",,,,"&amp;$H$1&amp;")"),"")</f>
        <v>-146.5</v>
      </c>
      <c r="G71" s="48" cm="1">
        <f t="array" ref="G71">-IFERROR(_xll.FDS($A$1,""&amp;$B71&amp;"("&amp;(CHOOSE($F$1,$Z$4,#REF!))&amp;","&amp;G$7&amp;",,,,"&amp;$H$1&amp;")"),"")</f>
        <v>-159.4</v>
      </c>
      <c r="H71" s="48" cm="1">
        <f t="array" ref="H71">-IFERROR(_xll.FDS($A$1,""&amp;$B71&amp;"("&amp;(CHOOSE($F$1,$Z$4,#REF!))&amp;","&amp;H$7&amp;",,,,"&amp;$H$1&amp;")"),"")</f>
        <v>-174.2</v>
      </c>
      <c r="I71" s="48" cm="1">
        <f t="array" ref="I71">-IFERROR(_xll.FDS($A$1,""&amp;$B71&amp;"("&amp;(CHOOSE($F$1,$Z$4,#REF!))&amp;","&amp;I$7&amp;",,,,"&amp;$H$1&amp;")"),"")</f>
        <v>-182.6</v>
      </c>
      <c r="J71" s="48" cm="1">
        <f t="array" ref="J71">-IFERROR(_xll.FDS($A$1,""&amp;$B71&amp;"("&amp;(CHOOSE($F$1,$Z$4,#REF!))&amp;","&amp;J$7&amp;",,,,"&amp;$H$1&amp;")"),"")</f>
        <v>-196</v>
      </c>
      <c r="K71" s="48" cm="1">
        <f t="array" ref="K71">-IFERROR(_xll.FDS($A$1,""&amp;$B71&amp;"("&amp;(CHOOSE($F$1,$Z$4,#REF!))&amp;","&amp;K$7&amp;",,,,"&amp;$H$1&amp;")"),"")</f>
        <v>-215.6</v>
      </c>
      <c r="L71" s="48" cm="1">
        <f t="array" ref="L71">-IFERROR(_xll.FDS($A$1,""&amp;$B71&amp;"("&amp;(CHOOSE($F$1,$Z$4,#REF!))&amp;","&amp;L$7&amp;",,,,"&amp;$H$1&amp;")"),"")</f>
        <v>-229.2</v>
      </c>
      <c r="M71" s="48" cm="1">
        <f t="array" ref="M71">-IFERROR(_xll.FDS($A$1,""&amp;$B71&amp;"("&amp;(CHOOSE($F$1,$Z$4,#REF!))&amp;","&amp;M$7&amp;",,,,"&amp;$H$1&amp;")"),"")</f>
        <v>-231.9</v>
      </c>
      <c r="N71" s="48" cm="1">
        <f t="array" ref="N71">-IFERROR(_xll.FDS($A$1,""&amp;$B71&amp;"("&amp;(CHOOSE($F$1,$Z$4,#REF!))&amp;","&amp;N$7&amp;",,,,"&amp;$H$1&amp;")"),"")</f>
        <v>-239.4</v>
      </c>
      <c r="O71" s="48" cm="1">
        <f t="array" ref="O71">-IFERROR(_xll.FDS($A$1,""&amp;$B71&amp;"("&amp;(CHOOSE($F$1,$Z$4,#REF!))&amp;","&amp;O$7&amp;",,,,"&amp;$H$1&amp;")"),"")</f>
        <v>-254.2</v>
      </c>
    </row>
    <row r="72" spans="1:15" x14ac:dyDescent="0.15">
      <c r="A72" s="2" t="s">
        <v>156</v>
      </c>
      <c r="B72" t="s">
        <v>226</v>
      </c>
      <c r="E72" s="48" cm="1">
        <f t="array" ref="E72">IFERROR(_xll.FDS($A$1,""&amp;$B72&amp;"("&amp;(CHOOSE($F$1,$Z$4,$AA$4))&amp;","&amp;E$7&amp;",,,,"&amp;$H$1&amp;")"),"")</f>
        <v>319.89999999999998</v>
      </c>
      <c r="F72" s="48" cm="1">
        <f t="array" ref="F72">IFERROR(_xll.FDS($A$1,""&amp;$B72&amp;"("&amp;(CHOOSE($F$1,$Z$4,$AA$4))&amp;","&amp;F$7&amp;",,,,"&amp;$H$1&amp;")"),"")</f>
        <v>-495.5</v>
      </c>
      <c r="G72" s="48" cm="1">
        <f t="array" ref="G72">IFERROR(_xll.FDS($A$1,""&amp;$B72&amp;"("&amp;(CHOOSE($F$1,$Z$4,$AA$4))&amp;","&amp;G$7&amp;",,,,"&amp;$H$1&amp;")"),"")</f>
        <v>160.6</v>
      </c>
      <c r="H72" s="48" cm="1">
        <f t="array" ref="H72">IFERROR(_xll.FDS($A$1,""&amp;$B72&amp;"("&amp;(CHOOSE($F$1,$Z$4,$AA$4))&amp;","&amp;H$7&amp;",,,,"&amp;$H$1&amp;")"),"")</f>
        <v>45.1</v>
      </c>
      <c r="I72" s="48" cm="1">
        <f t="array" ref="I72">IFERROR(_xll.FDS($A$1,""&amp;$B72&amp;"("&amp;(CHOOSE($F$1,$Z$4,$AA$4))&amp;","&amp;I$7&amp;",,,,"&amp;$H$1&amp;")"),"")</f>
        <v>195.1</v>
      </c>
      <c r="J72" s="48" cm="1">
        <f t="array" ref="J72">IFERROR(_xll.FDS($A$1,""&amp;$B72&amp;"("&amp;(CHOOSE($F$1,$Z$4,$AA$4))&amp;","&amp;J$7&amp;",,,,"&amp;$H$1&amp;")"),"")</f>
        <v>-63.5</v>
      </c>
      <c r="K72" s="48" cm="1">
        <f t="array" ref="K72">IFERROR(_xll.FDS($A$1,""&amp;$B72&amp;"("&amp;(CHOOSE($F$1,$Z$4,$AA$4))&amp;","&amp;K$7&amp;",,,,"&amp;$H$1&amp;")"),"")</f>
        <v>30.7</v>
      </c>
      <c r="L72" s="48" cm="1">
        <f t="array" ref="L72">IFERROR(_xll.FDS($A$1,""&amp;$B72&amp;"("&amp;(CHOOSE($F$1,$Z$4,$AA$4))&amp;","&amp;L$7&amp;",,,,"&amp;$H$1&amp;")"),"")</f>
        <v>348.8</v>
      </c>
      <c r="M72" s="48" cm="1">
        <f t="array" ref="M72">IFERROR(_xll.FDS($A$1,""&amp;$B72&amp;"("&amp;(CHOOSE($F$1,$Z$4,$AA$4))&amp;","&amp;M$7&amp;",,,,"&amp;$H$1&amp;")"),"")</f>
        <v>14.1</v>
      </c>
      <c r="N72" s="48" cm="1">
        <f t="array" ref="N72">IFERROR(_xll.FDS($A$1,""&amp;$B72&amp;"("&amp;(CHOOSE($F$1,$Z$4,$AA$4))&amp;","&amp;N$7&amp;",,,,"&amp;$H$1&amp;")"),"")</f>
        <v>88.1</v>
      </c>
      <c r="O72" s="48" cm="1">
        <f t="array" ref="O72">IFERROR(_xll.FDS($A$1,""&amp;$B72&amp;"("&amp;(CHOOSE($F$1,$Z$4,$AA$4))&amp;","&amp;O$7&amp;",,,,"&amp;$H$1&amp;")"),"")</f>
        <v>-14.8</v>
      </c>
    </row>
    <row r="73" spans="1:15" x14ac:dyDescent="0.15">
      <c r="A73" s="2" t="s">
        <v>157</v>
      </c>
      <c r="B73" t="s">
        <v>227</v>
      </c>
      <c r="E73" s="48" cm="1">
        <f t="array" ref="E73">IFERROR(_xll.FDS($A$1,""&amp;$B73&amp;"("&amp;(CHOOSE($F$1,$Z$4,#REF!))&amp;","&amp;E$7&amp;",,,,"&amp;$H$1&amp;")"),"")</f>
        <v>-491.8</v>
      </c>
      <c r="F73" s="48" cm="1">
        <f t="array" ref="F73">IFERROR(_xll.FDS($A$1,""&amp;$B73&amp;"("&amp;(CHOOSE($F$1,$Z$4,#REF!))&amp;","&amp;F$7&amp;",,,,"&amp;$H$1&amp;")"),"")</f>
        <v>-305.8</v>
      </c>
      <c r="G73" s="48" cm="1">
        <f t="array" ref="G73">IFERROR(_xll.FDS($A$1,""&amp;$B73&amp;"("&amp;(CHOOSE($F$1,$Z$4,#REF!))&amp;","&amp;G$7&amp;",,,,"&amp;$H$1&amp;")"),"")</f>
        <v>-293.7</v>
      </c>
      <c r="H73" s="48" cm="1">
        <f t="array" ref="H73">IFERROR(_xll.FDS($A$1,""&amp;$B73&amp;"("&amp;(CHOOSE($F$1,$Z$4,#REF!))&amp;","&amp;H$7&amp;",,,,"&amp;$H$1&amp;")"),"")</f>
        <v>-411.5</v>
      </c>
      <c r="I73" s="48" cm="1">
        <f t="array" ref="I73">IFERROR(_xll.FDS($A$1,""&amp;$B73&amp;"("&amp;(CHOOSE($F$1,$Z$4,#REF!))&amp;","&amp;I$7&amp;",,,,"&amp;$H$1&amp;")"),"")</f>
        <v>-396.7</v>
      </c>
      <c r="J73" s="48" cm="1">
        <f t="array" ref="J73">IFERROR(_xll.FDS($A$1,""&amp;$B73&amp;"("&amp;(CHOOSE($F$1,$Z$4,#REF!))&amp;","&amp;J$7&amp;",,,,"&amp;$H$1&amp;")"),"")</f>
        <v>-391</v>
      </c>
      <c r="K73" s="48" cm="1">
        <f t="array" ref="K73">IFERROR(_xll.FDS($A$1,""&amp;$B73&amp;"("&amp;(CHOOSE($F$1,$Z$4,#REF!))&amp;","&amp;K$7&amp;",,,,"&amp;$H$1&amp;")"),"")</f>
        <v>-351.6</v>
      </c>
      <c r="L73" s="48" cm="1">
        <f t="array" ref="L73">IFERROR(_xll.FDS($A$1,""&amp;$B73&amp;"("&amp;(CHOOSE($F$1,$Z$4,#REF!))&amp;","&amp;L$7&amp;",,,,"&amp;$H$1&amp;")"),"")</f>
        <v>-394.2</v>
      </c>
      <c r="M73" s="48" cm="1">
        <f t="array" ref="M73">IFERROR(_xll.FDS($A$1,""&amp;$B73&amp;"("&amp;(CHOOSE($F$1,$Z$4,#REF!))&amp;","&amp;M$7&amp;",,,,"&amp;$H$1&amp;")"),"")</f>
        <v>4.4000000000000004</v>
      </c>
      <c r="N73" s="48" cm="1">
        <f t="array" ref="N73">IFERROR(_xll.FDS($A$1,""&amp;$B73&amp;"("&amp;(CHOOSE($F$1,$Z$4,#REF!))&amp;","&amp;N$7&amp;",,,,"&amp;$H$1&amp;")"),"")</f>
        <v>-46.6</v>
      </c>
      <c r="O73" s="48" cm="1">
        <f t="array" ref="O73">IFERROR(_xll.FDS($A$1,""&amp;$B73&amp;"("&amp;(CHOOSE($F$1,$Z$4,#REF!))&amp;","&amp;O$7&amp;",,,,"&amp;$H$1&amp;")"),"")</f>
        <v>-196.1</v>
      </c>
    </row>
    <row r="74" spans="1:15" x14ac:dyDescent="0.15">
      <c r="A74" s="2" t="s">
        <v>134</v>
      </c>
      <c r="B74" t="s">
        <v>228</v>
      </c>
      <c r="E74" s="48" cm="1">
        <f t="array" ref="E74">IFERROR(_xll.FDS($A$1,""&amp;$B74&amp;"("&amp;(CHOOSE($F$1,$Z$4,$AA$4))&amp;","&amp;E$7&amp;",,,,"&amp;$H$1&amp;")"),"")</f>
        <v>0.2</v>
      </c>
      <c r="F74" s="48" cm="1">
        <f t="array" ref="F74">IFERROR(_xll.FDS($A$1,""&amp;$B74&amp;"("&amp;(CHOOSE($F$1,$Z$4,$AA$4))&amp;","&amp;F$7&amp;",,,,"&amp;$H$1&amp;")"),"")</f>
        <v>-27</v>
      </c>
      <c r="G74" s="48" cm="1">
        <f t="array" ref="G74">IFERROR(_xll.FDS($A$1,""&amp;$B74&amp;"("&amp;(CHOOSE($F$1,$Z$4,$AA$4))&amp;","&amp;G$7&amp;",,,,"&amp;$H$1&amp;")"),"")</f>
        <v>-36.1</v>
      </c>
      <c r="H74" s="48" cm="1">
        <f t="array" ref="H74">IFERROR(_xll.FDS($A$1,""&amp;$B74&amp;"("&amp;(CHOOSE($F$1,$Z$4,$AA$4))&amp;","&amp;H$7&amp;",,,,"&amp;$H$1&amp;")"),"")</f>
        <v>-28.1</v>
      </c>
      <c r="I74" s="48" cm="1">
        <f t="array" ref="I74">IFERROR(_xll.FDS($A$1,""&amp;$B74&amp;"("&amp;(CHOOSE($F$1,$Z$4,$AA$4))&amp;","&amp;I$7&amp;",,,,"&amp;$H$1&amp;")"),"")</f>
        <v>-34.4</v>
      </c>
      <c r="J74" s="48" cm="1">
        <f t="array" ref="J74">IFERROR(_xll.FDS($A$1,""&amp;$B74&amp;"("&amp;(CHOOSE($F$1,$Z$4,$AA$4))&amp;","&amp;J$7&amp;",,,,"&amp;$H$1&amp;")"),"")</f>
        <v>-37.299999999999997</v>
      </c>
      <c r="K74" s="48" cm="1">
        <f t="array" ref="K74">IFERROR(_xll.FDS($A$1,""&amp;$B74&amp;"("&amp;(CHOOSE($F$1,$Z$4,$AA$4))&amp;","&amp;K$7&amp;",,,,"&amp;$H$1&amp;")"),"")</f>
        <v>-53.3</v>
      </c>
      <c r="L74" s="48" cm="1">
        <f t="array" ref="L74">IFERROR(_xll.FDS($A$1,""&amp;$B74&amp;"("&amp;(CHOOSE($F$1,$Z$4,$AA$4))&amp;","&amp;L$7&amp;",,,,"&amp;$H$1&amp;")"),"")</f>
        <v>-83.4</v>
      </c>
      <c r="M74" s="48" cm="1">
        <f t="array" ref="M74">IFERROR(_xll.FDS($A$1,""&amp;$B74&amp;"("&amp;(CHOOSE($F$1,$Z$4,$AA$4))&amp;","&amp;M$7&amp;",,,,"&amp;$H$1&amp;")"),"")</f>
        <v>-3.5</v>
      </c>
      <c r="N74" s="48" cm="1">
        <f t="array" ref="N74">IFERROR(_xll.FDS($A$1,""&amp;$B74&amp;"("&amp;(CHOOSE($F$1,$Z$4,$AA$4))&amp;","&amp;N$7&amp;",,,,"&amp;$H$1&amp;")"),"")</f>
        <v>29</v>
      </c>
      <c r="O74" s="48" cm="1">
        <f t="array" ref="O74">IFERROR(_xll.FDS($A$1,""&amp;$B74&amp;"("&amp;(CHOOSE($F$1,$Z$4,$AA$4))&amp;","&amp;O$7&amp;",,,,"&amp;$H$1&amp;")"),"")</f>
        <v>46.5</v>
      </c>
    </row>
    <row r="75" spans="1:15" x14ac:dyDescent="0.15">
      <c r="A75" s="41" t="s">
        <v>158</v>
      </c>
      <c r="B75" t="s">
        <v>229</v>
      </c>
      <c r="E75" s="49" cm="1">
        <f t="array" ref="E75">IFERROR(_xll.FDS($A$1,""&amp;$B75&amp;"("&amp;(CHOOSE($F$1,$Z$4,#REF!))&amp;","&amp;E$7&amp;",,,,"&amp;$H$1&amp;")"),"")</f>
        <v>-305.5</v>
      </c>
      <c r="F75" s="49" cm="1">
        <f t="array" ref="F75">IFERROR(_xll.FDS($A$1,""&amp;$B75&amp;"("&amp;(CHOOSE($F$1,$Z$4,#REF!))&amp;","&amp;F$7&amp;",,,,"&amp;$H$1&amp;")"),"")</f>
        <v>-974.8</v>
      </c>
      <c r="G75" s="49" cm="1">
        <f t="array" ref="G75">IFERROR(_xll.FDS($A$1,""&amp;$B75&amp;"("&amp;(CHOOSE($F$1,$Z$4,#REF!))&amp;","&amp;G$7&amp;",,,,"&amp;$H$1&amp;")"),"")</f>
        <v>-328.6</v>
      </c>
      <c r="H75" s="49" cm="1">
        <f t="array" ref="H75">IFERROR(_xll.FDS($A$1,""&amp;$B75&amp;"("&amp;(CHOOSE($F$1,$Z$4,#REF!))&amp;","&amp;H$7&amp;",,,,"&amp;$H$1&amp;")"),"")</f>
        <v>-568.70000000000005</v>
      </c>
      <c r="I75" s="49" cm="1">
        <f t="array" ref="I75">IFERROR(_xll.FDS($A$1,""&amp;$B75&amp;"("&amp;(CHOOSE($F$1,$Z$4,#REF!))&amp;","&amp;I$7&amp;",,,,"&amp;$H$1&amp;")"),"")</f>
        <v>-418.6</v>
      </c>
      <c r="J75" s="49" cm="1">
        <f t="array" ref="J75">IFERROR(_xll.FDS($A$1,""&amp;$B75&amp;"("&amp;(CHOOSE($F$1,$Z$4,#REF!))&amp;","&amp;J$7&amp;",,,,"&amp;$H$1&amp;")"),"")</f>
        <v>-687.8</v>
      </c>
      <c r="K75" s="49" cm="1">
        <f t="array" ref="K75">IFERROR(_xll.FDS($A$1,""&amp;$B75&amp;"("&amp;(CHOOSE($F$1,$Z$4,#REF!))&amp;","&amp;K$7&amp;",,,,"&amp;$H$1&amp;")"),"")</f>
        <v>-589.79999999999995</v>
      </c>
      <c r="L75" s="49" cm="1">
        <f t="array" ref="L75">IFERROR(_xll.FDS($A$1,""&amp;$B75&amp;"("&amp;(CHOOSE($F$1,$Z$4,#REF!))&amp;","&amp;L$7&amp;",,,,"&amp;$H$1&amp;")"),"")</f>
        <v>-358</v>
      </c>
      <c r="M75" s="49" cm="1">
        <f t="array" ref="M75">IFERROR(_xll.FDS($A$1,""&amp;$B75&amp;"("&amp;(CHOOSE($F$1,$Z$4,#REF!))&amp;","&amp;M$7&amp;",,,,"&amp;$H$1&amp;")"),"")</f>
        <v>-216.9</v>
      </c>
      <c r="N75" s="49" cm="1">
        <f t="array" ref="N75">IFERROR(_xll.FDS($A$1,""&amp;$B75&amp;"("&amp;(CHOOSE($F$1,$Z$4,#REF!))&amp;","&amp;N$7&amp;",,,,"&amp;$H$1&amp;")"),"")</f>
        <v>-168.9</v>
      </c>
      <c r="O75" s="49" cm="1">
        <f t="array" ref="O75">IFERROR(_xll.FDS($A$1,""&amp;$B75&amp;"("&amp;(CHOOSE($F$1,$Z$4,#REF!))&amp;","&amp;O$7&amp;",,,,"&amp;$H$1&amp;")"),"")</f>
        <v>-418.6</v>
      </c>
    </row>
    <row r="76" spans="1:15" x14ac:dyDescent="0.15">
      <c r="A76" s="2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</row>
    <row r="77" spans="1:15" x14ac:dyDescent="0.15">
      <c r="A77" s="41" t="s">
        <v>160</v>
      </c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</row>
    <row r="78" spans="1:15" x14ac:dyDescent="0.15">
      <c r="A78" s="2" t="s">
        <v>161</v>
      </c>
      <c r="B78" t="s">
        <v>230</v>
      </c>
      <c r="E78" s="48" t="str" cm="1">
        <f t="array" ref="E78">IFERROR(_xll.FDS($A$1,""&amp;$B78&amp;"("&amp;(CHOOSE($F$1,$Z$4,#REF!))&amp;","&amp;E$7&amp;",,,,"&amp;$H$1&amp;")"),"")</f>
        <v/>
      </c>
      <c r="F78" s="48" t="str" cm="1">
        <f t="array" ref="F78">IFERROR(_xll.FDS($A$1,""&amp;$B78&amp;"("&amp;(CHOOSE($F$1,$Z$4,#REF!))&amp;","&amp;F$7&amp;",,,,"&amp;$H$1&amp;")"),"")</f>
        <v/>
      </c>
      <c r="G78" s="48" t="str" cm="1">
        <f t="array" ref="G78">IFERROR(_xll.FDS($A$1,""&amp;$B78&amp;"("&amp;(CHOOSE($F$1,$Z$4,#REF!))&amp;","&amp;G$7&amp;",,,,"&amp;$H$1&amp;")"),"")</f>
        <v/>
      </c>
      <c r="H78" s="48" t="str" cm="1">
        <f t="array" ref="H78">IFERROR(_xll.FDS($A$1,""&amp;$B78&amp;"("&amp;(CHOOSE($F$1,$Z$4,#REF!))&amp;","&amp;H$7&amp;",,,,"&amp;$H$1&amp;")"),"")</f>
        <v/>
      </c>
      <c r="I78" s="48" t="str" cm="1">
        <f t="array" ref="I78">IFERROR(_xll.FDS($A$1,""&amp;$B78&amp;"("&amp;(CHOOSE($F$1,$Z$4,#REF!))&amp;","&amp;I$7&amp;",,,,"&amp;$H$1&amp;")"),"")</f>
        <v/>
      </c>
      <c r="J78" s="48" t="str" cm="1">
        <f t="array" ref="J78">IFERROR(_xll.FDS($A$1,""&amp;$B78&amp;"("&amp;(CHOOSE($F$1,$Z$4,#REF!))&amp;","&amp;J$7&amp;",,,,"&amp;$H$1&amp;")"),"")</f>
        <v/>
      </c>
      <c r="K78" s="48" t="str" cm="1">
        <f t="array" ref="K78">IFERROR(_xll.FDS($A$1,""&amp;$B78&amp;"("&amp;(CHOOSE($F$1,$Z$4,#REF!))&amp;","&amp;K$7&amp;",,,,"&amp;$H$1&amp;")"),"")</f>
        <v/>
      </c>
      <c r="L78" s="48" t="str" cm="1">
        <f t="array" ref="L78">IFERROR(_xll.FDS($A$1,""&amp;$B78&amp;"("&amp;(CHOOSE($F$1,$Z$4,#REF!))&amp;","&amp;L$7&amp;",,,,"&amp;$H$1&amp;")"),"")</f>
        <v/>
      </c>
      <c r="M78" s="48" t="str" cm="1">
        <f t="array" ref="M78">IFERROR(_xll.FDS($A$1,""&amp;$B78&amp;"("&amp;(CHOOSE($F$1,$Z$4,#REF!))&amp;","&amp;M$7&amp;",,,,"&amp;$H$1&amp;")"),"")</f>
        <v/>
      </c>
      <c r="N78" s="48" t="str" cm="1">
        <f t="array" ref="N78">IFERROR(_xll.FDS($A$1,""&amp;$B78&amp;"("&amp;(CHOOSE($F$1,$Z$4,#REF!))&amp;","&amp;N$7&amp;",,,,"&amp;$H$1&amp;")"),"")</f>
        <v/>
      </c>
      <c r="O78" s="48" t="str" cm="1">
        <f t="array" ref="O78">IFERROR(_xll.FDS($A$1,""&amp;$B78&amp;"("&amp;(CHOOSE($F$1,$Z$4,#REF!))&amp;","&amp;O$7&amp;",,,,"&amp;$H$1&amp;")"),"")</f>
        <v/>
      </c>
    </row>
    <row r="79" spans="1:15" x14ac:dyDescent="0.15">
      <c r="A79" s="2" t="s">
        <v>162</v>
      </c>
      <c r="B79" t="s">
        <v>231</v>
      </c>
      <c r="E79" s="48" cm="1">
        <f t="array" ref="E79">IFERROR(_xll.FDS($A$1,""&amp;$B79&amp;"("&amp;(CHOOSE($F$1,$Z$4,#REF!))&amp;","&amp;E$7&amp;",,,,"&amp;$H$1&amp;")"),"")</f>
        <v>-39.299999999999997</v>
      </c>
      <c r="F79" s="48" cm="1">
        <f t="array" ref="F79">IFERROR(_xll.FDS($A$1,""&amp;$B79&amp;"("&amp;(CHOOSE($F$1,$Z$4,#REF!))&amp;","&amp;F$7&amp;",,,,"&amp;$H$1&amp;")"),"")</f>
        <v>16.8</v>
      </c>
      <c r="G79" s="48" cm="1">
        <f t="array" ref="G79">IFERROR(_xll.FDS($A$1,""&amp;$B79&amp;"("&amp;(CHOOSE($F$1,$Z$4,#REF!))&amp;","&amp;G$7&amp;",,,,"&amp;$H$1&amp;")"),"")</f>
        <v>8.4</v>
      </c>
      <c r="H79" s="48" cm="1">
        <f t="array" ref="H79">IFERROR(_xll.FDS($A$1,""&amp;$B79&amp;"("&amp;(CHOOSE($F$1,$Z$4,#REF!))&amp;","&amp;H$7&amp;",,,,"&amp;$H$1&amp;")"),"")</f>
        <v>10.4</v>
      </c>
      <c r="I79" s="48" cm="1">
        <f t="array" ref="I79">IFERROR(_xll.FDS($A$1,""&amp;$B79&amp;"("&amp;(CHOOSE($F$1,$Z$4,#REF!))&amp;","&amp;I$7&amp;",,,,"&amp;$H$1&amp;")"),"")</f>
        <v>-12.5</v>
      </c>
      <c r="J79" s="48" cm="1">
        <f t="array" ref="J79">IFERROR(_xll.FDS($A$1,""&amp;$B79&amp;"("&amp;(CHOOSE($F$1,$Z$4,#REF!))&amp;","&amp;J$7&amp;",,,,"&amp;$H$1&amp;")"),"")</f>
        <v>-23</v>
      </c>
      <c r="K79" s="48" cm="1">
        <f t="array" ref="K79">IFERROR(_xll.FDS($A$1,""&amp;$B79&amp;"("&amp;(CHOOSE($F$1,$Z$4,#REF!))&amp;","&amp;K$7&amp;",,,,"&amp;$H$1&amp;")"),"")</f>
        <v>16.600000000000001</v>
      </c>
      <c r="L79" s="48" cm="1">
        <f t="array" ref="L79">IFERROR(_xll.FDS($A$1,""&amp;$B79&amp;"("&amp;(CHOOSE($F$1,$Z$4,#REF!))&amp;","&amp;L$7&amp;",,,,"&amp;$H$1&amp;")"),"")</f>
        <v>-9.9</v>
      </c>
      <c r="M79" s="48" cm="1">
        <f t="array" ref="M79">IFERROR(_xll.FDS($A$1,""&amp;$B79&amp;"("&amp;(CHOOSE($F$1,$Z$4,#REF!))&amp;","&amp;M$7&amp;",,,,"&amp;$H$1&amp;")"),"")</f>
        <v>112.9</v>
      </c>
      <c r="N79" s="48" cm="1">
        <f t="array" ref="N79">IFERROR(_xll.FDS($A$1,""&amp;$B79&amp;"("&amp;(CHOOSE($F$1,$Z$4,#REF!))&amp;","&amp;N$7&amp;",,,,"&amp;$H$1&amp;")"),"")</f>
        <v>-122</v>
      </c>
      <c r="O79" s="48" cm="1">
        <f t="array" ref="O79">IFERROR(_xll.FDS($A$1,""&amp;$B79&amp;"("&amp;(CHOOSE($F$1,$Z$4,#REF!))&amp;","&amp;O$7&amp;",,,,"&amp;$H$1&amp;")"),"")</f>
        <v>44.2</v>
      </c>
    </row>
    <row r="80" spans="1:15" x14ac:dyDescent="0.15">
      <c r="A80" s="2" t="s">
        <v>163</v>
      </c>
      <c r="B80" t="s">
        <v>232</v>
      </c>
      <c r="E80" s="48" cm="1">
        <f t="array" ref="E80">IFERROR(_xll.FDS($A$1,""&amp;$B80&amp;"("&amp;(CHOOSE($F$1,$Z$4,#REF!))&amp;","&amp;E$7&amp;",,,,"&amp;$H$1&amp;")"),"")</f>
        <v>1245.8</v>
      </c>
      <c r="F80" s="48" cm="1">
        <f t="array" ref="F80">IFERROR(_xll.FDS($A$1,""&amp;$B80&amp;"("&amp;(CHOOSE($F$1,$Z$4,#REF!))&amp;","&amp;F$7&amp;",,,,"&amp;$H$1&amp;")"),"")</f>
        <v>779.5</v>
      </c>
      <c r="G80" s="48" cm="1">
        <f t="array" ref="G80">IFERROR(_xll.FDS($A$1,""&amp;$B80&amp;"("&amp;(CHOOSE($F$1,$Z$4,#REF!))&amp;","&amp;G$7&amp;",,,,"&amp;$H$1&amp;")"),"")</f>
        <v>949.7</v>
      </c>
      <c r="H80" s="48" cm="1">
        <f t="array" ref="H80">IFERROR(_xll.FDS($A$1,""&amp;$B80&amp;"("&amp;(CHOOSE($F$1,$Z$4,#REF!))&amp;","&amp;H$7&amp;",,,,"&amp;$H$1&amp;")"),"")</f>
        <v>1017.7</v>
      </c>
      <c r="I80" s="48" cm="1">
        <f t="array" ref="I80">IFERROR(_xll.FDS($A$1,""&amp;$B80&amp;"("&amp;(CHOOSE($F$1,$Z$4,#REF!))&amp;","&amp;I$7&amp;",,,,"&amp;$H$1&amp;")"),"")</f>
        <v>848.5</v>
      </c>
      <c r="J80" s="48" cm="1">
        <f t="array" ref="J80">IFERROR(_xll.FDS($A$1,""&amp;$B80&amp;"("&amp;(CHOOSE($F$1,$Z$4,#REF!))&amp;","&amp;J$7&amp;",,,,"&amp;$H$1&amp;")"),"")</f>
        <v>862.8</v>
      </c>
      <c r="K80" s="48" cm="1">
        <f t="array" ref="K80">IFERROR(_xll.FDS($A$1,""&amp;$B80&amp;"("&amp;(CHOOSE($F$1,$Z$4,#REF!))&amp;","&amp;K$7&amp;",,,,"&amp;$H$1&amp;")"),"")</f>
        <v>1176.8</v>
      </c>
      <c r="L80" s="48" cm="1">
        <f t="array" ref="L80">IFERROR(_xll.FDS($A$1,""&amp;$B80&amp;"("&amp;(CHOOSE($F$1,$Z$4,#REF!))&amp;","&amp;L$7&amp;",,,,"&amp;$H$1&amp;")"),"")</f>
        <v>1361.5</v>
      </c>
      <c r="M80" s="48" cm="1">
        <f t="array" ref="M80">IFERROR(_xll.FDS($A$1,""&amp;$B80&amp;"("&amp;(CHOOSE($F$1,$Z$4,#REF!))&amp;","&amp;M$7&amp;",,,,"&amp;$H$1&amp;")"),"")</f>
        <v>246.5</v>
      </c>
      <c r="N80" s="48" cm="1">
        <f t="array" ref="N80">IFERROR(_xll.FDS($A$1,""&amp;$B80&amp;"("&amp;(CHOOSE($F$1,$Z$4,#REF!))&amp;","&amp;N$7&amp;",,,,"&amp;$H$1&amp;")"),"")</f>
        <v>1037.8</v>
      </c>
      <c r="O80" s="48" cm="1">
        <f t="array" ref="O80">IFERROR(_xll.FDS($A$1,""&amp;$B80&amp;"("&amp;(CHOOSE($F$1,$Z$4,#REF!))&amp;","&amp;O$7&amp;",,,,"&amp;$H$1&amp;")"),"")</f>
        <v>1062.3</v>
      </c>
    </row>
    <row r="81" spans="1:15" x14ac:dyDescent="0.15">
      <c r="A81" s="2" t="s">
        <v>165</v>
      </c>
      <c r="B81" t="s">
        <v>233</v>
      </c>
      <c r="E81" s="53" cm="1">
        <f t="array" ref="E81">IFERROR(_xll.FDS($A$1,""&amp;$B81&amp;"("&amp;(CHOOSE($F$1,$Z$4,#REF!))&amp;","&amp;E$7&amp;",,,,"&amp;$H$1&amp;")"),"")</f>
        <v>4.4215436859021704</v>
      </c>
      <c r="F81" s="53" cm="1">
        <f t="array" ref="F81">IFERROR(_xll.FDS($A$1,""&amp;$B81&amp;"("&amp;(CHOOSE($F$1,$Z$4,#REF!))&amp;","&amp;F$7&amp;",,,,"&amp;$H$1&amp;")"),"")</f>
        <v>2.9310108847855201</v>
      </c>
      <c r="G81" s="53" cm="1">
        <f t="array" ref="G81">IFERROR(_xll.FDS($A$1,""&amp;$B81&amp;"("&amp;(CHOOSE($F$1,$Z$4,#REF!))&amp;","&amp;G$7&amp;",,,,"&amp;$H$1&amp;")"),"")</f>
        <v>3.7003297840506701</v>
      </c>
      <c r="H81" s="53" cm="1">
        <f t="array" ref="H81">IFERROR(_xll.FDS($A$1,""&amp;$B81&amp;"("&amp;(CHOOSE($F$1,$Z$4,#REF!))&amp;","&amp;H$7&amp;",,,,"&amp;$H$1&amp;")"),"")</f>
        <v>4.1060347050106403</v>
      </c>
      <c r="I81" s="53" cm="1">
        <f t="array" ref="I81">IFERROR(_xll.FDS($A$1,""&amp;$B81&amp;"("&amp;(CHOOSE($F$1,$Z$4,#REF!))&amp;","&amp;I$7&amp;",,,,"&amp;$H$1&amp;")"),"")</f>
        <v>3.59565588831558</v>
      </c>
      <c r="J81" s="53" cm="1">
        <f t="array" ref="J81">IFERROR(_xll.FDS($A$1,""&amp;$B81&amp;"("&amp;(CHOOSE($F$1,$Z$4,#REF!))&amp;","&amp;J$7&amp;",,,,"&amp;$H$1&amp;")"),"")</f>
        <v>3.7952767543257702</v>
      </c>
      <c r="K81" s="53" cm="1">
        <f t="array" ref="K81">IFERROR(_xll.FDS($A$1,""&amp;$B81&amp;"("&amp;(CHOOSE($F$1,$Z$4,#REF!))&amp;","&amp;K$7&amp;",,,,"&amp;$H$1&amp;")"),"")</f>
        <v>5.3476664851998503</v>
      </c>
      <c r="L81" s="53" cm="1">
        <f t="array" ref="L81">IFERROR(_xll.FDS($A$1,""&amp;$B81&amp;"("&amp;(CHOOSE($F$1,$Z$4,#REF!))&amp;","&amp;L$7&amp;",,,,"&amp;$H$1&amp;")"),"")</f>
        <v>6.4878315632171599</v>
      </c>
      <c r="M81" s="53" cm="1">
        <f t="array" ref="M81">IFERROR(_xll.FDS($A$1,""&amp;$B81&amp;"("&amp;(CHOOSE($F$1,$Z$4,#REF!))&amp;","&amp;M$7&amp;",,,,"&amp;$H$1&amp;")"),"")</f>
        <v>1.2097844816797401</v>
      </c>
      <c r="N81" s="53" cm="1">
        <f t="array" ref="N81">IFERROR(_xll.FDS($A$1,""&amp;$B81&amp;"("&amp;(CHOOSE($F$1,$Z$4,#REF!))&amp;","&amp;N$7&amp;",,,,"&amp;$H$1&amp;")"),"")</f>
        <v>5.06619789609754</v>
      </c>
      <c r="O81" s="53" cm="1">
        <f t="array" ref="O81">IFERROR(_xll.FDS($A$1,""&amp;$B81&amp;"("&amp;(CHOOSE($F$1,$Z$4,#REF!))&amp;","&amp;O$7&amp;",,,,"&amp;$H$1&amp;")"),"")</f>
        <v>5.2560642899340699</v>
      </c>
    </row>
    <row r="82" spans="1:15" x14ac:dyDescent="0.15">
      <c r="A82" s="2" t="s">
        <v>166</v>
      </c>
      <c r="B82" t="s">
        <v>234</v>
      </c>
      <c r="E82" s="48" cm="1">
        <f t="array" ref="E82">IFERROR(_xll.FDS($A$1,""&amp;$B82&amp;"("&amp;(CHOOSE($F$1,$Z$4,$AA$4))&amp;","&amp;E$7&amp;",,,,"&amp;$H$1&amp;")"),"")</f>
        <v>21.237001373209299</v>
      </c>
      <c r="F82" s="48" cm="1">
        <f t="array" ref="F82">IFERROR(_xll.FDS($A$1,""&amp;$B82&amp;"("&amp;(CHOOSE($F$1,$Z$4,$AA$4))&amp;","&amp;F$7&amp;",,,,"&amp;$H$1&amp;")"),"")</f>
        <v>8.35521916985609</v>
      </c>
      <c r="G82" s="48" cm="1">
        <f t="array" ref="G82">IFERROR(_xll.FDS($A$1,""&amp;$B82&amp;"("&amp;(CHOOSE($F$1,$Z$4,$AA$4))&amp;","&amp;G$7&amp;",,,,"&amp;$H$1&amp;")"),"")</f>
        <v>10.6087436469343</v>
      </c>
      <c r="H82" s="48" cm="1">
        <f t="array" ref="H82">IFERROR(_xll.FDS($A$1,""&amp;$B82&amp;"("&amp;(CHOOSE($F$1,$Z$4,$AA$4))&amp;","&amp;H$7&amp;",,,,"&amp;$H$1&amp;")"),"")</f>
        <v>12.3341384950755</v>
      </c>
      <c r="I82" s="48" cm="1">
        <f t="array" ref="I82">IFERROR(_xll.FDS($A$1,""&amp;$B82&amp;"("&amp;(CHOOSE($F$1,$Z$4,$AA$4))&amp;","&amp;I$7&amp;",,,,"&amp;$H$1&amp;")"),"")</f>
        <v>8.1849667387106297</v>
      </c>
      <c r="J82" s="48" cm="1">
        <f t="array" ref="J82">IFERROR(_xll.FDS($A$1,""&amp;$B82&amp;"("&amp;(CHOOSE($F$1,$Z$4,$AA$4))&amp;","&amp;J$7&amp;",,,,"&amp;$H$1&amp;")"),"")</f>
        <v>6.9143318533900002</v>
      </c>
      <c r="K82" s="48" cm="1">
        <f t="array" ref="K82">IFERROR(_xll.FDS($A$1,""&amp;$B82&amp;"("&amp;(CHOOSE($F$1,$Z$4,$AA$4))&amp;","&amp;K$7&amp;",,,,"&amp;$H$1&amp;")"),"")</f>
        <v>18.201723911503901</v>
      </c>
      <c r="L82" s="48" cm="1">
        <f t="array" ref="L82">IFERROR(_xll.FDS($A$1,""&amp;$B82&amp;"("&amp;(CHOOSE($F$1,$Z$4,$AA$4))&amp;","&amp;L$7&amp;",,,,"&amp;$H$1&amp;")"),"")</f>
        <v>22.249079434901098</v>
      </c>
      <c r="M82" s="48" cm="1">
        <f t="array" ref="M82">IFERROR(_xll.FDS($A$1,""&amp;$B82&amp;"("&amp;(CHOOSE($F$1,$Z$4,$AA$4))&amp;","&amp;M$7&amp;",,,,"&amp;$H$1&amp;")"),"")</f>
        <v>5.2736899811671298</v>
      </c>
      <c r="N82" s="48" cm="1">
        <f t="array" ref="N82">IFERROR(_xll.FDS($A$1,""&amp;$B82&amp;"("&amp;(CHOOSE($F$1,$Z$4,$AA$4))&amp;","&amp;N$7&amp;",,,,"&amp;$H$1&amp;")"),"")</f>
        <v>20.619446056563099</v>
      </c>
      <c r="O82" s="48" cm="1">
        <f t="array" ref="O82">IFERROR(_xll.FDS($A$1,""&amp;$B82&amp;"("&amp;(CHOOSE($F$1,$Z$4,$AA$4))&amp;","&amp;O$7&amp;",,,,"&amp;$H$1&amp;")"),"")</f>
        <v>12.810295612805399</v>
      </c>
    </row>
    <row r="83" spans="1:15" x14ac:dyDescent="0.15"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</row>
    <row r="84" spans="1:15" x14ac:dyDescent="0.15"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686F-7051-4A75-9656-50A2E9724009}">
  <dimension ref="A1:W82"/>
  <sheetViews>
    <sheetView workbookViewId="0">
      <pane xSplit="4" ySplit="7" topLeftCell="E20" activePane="bottomRight" state="frozen"/>
      <selection pane="topRight" activeCell="E1" sqref="E1"/>
      <selection pane="bottomLeft" activeCell="A8" sqref="A8"/>
      <selection pane="bottomRight" activeCell="G32" sqref="G32"/>
    </sheetView>
  </sheetViews>
  <sheetFormatPr baseColWidth="10" defaultColWidth="9" defaultRowHeight="14" outlineLevelCol="1" x14ac:dyDescent="0.15"/>
  <cols>
    <col min="1" max="1" width="50.796875" bestFit="1" customWidth="1"/>
    <col min="2" max="3" width="5.3984375" customWidth="1"/>
    <col min="4" max="4" width="19.59765625" bestFit="1" customWidth="1"/>
    <col min="5" max="15" width="10.59765625" customWidth="1"/>
    <col min="20" max="20" width="22" hidden="1" customWidth="1" outlineLevel="1"/>
    <col min="21" max="21" width="13.796875" hidden="1" customWidth="1" outlineLevel="1"/>
    <col min="22" max="22" width="54" hidden="1" customWidth="1" outlineLevel="1"/>
    <col min="23" max="23" width="9" collapsed="1"/>
  </cols>
  <sheetData>
    <row r="1" spans="1:22" s="2" customFormat="1" ht="45" x14ac:dyDescent="0.15">
      <c r="A1" s="60" t="str">
        <f>'Base Case'!ALLFINSTAT_RWIdentifier</f>
        <v>UNM</v>
      </c>
      <c r="D1" s="1"/>
      <c r="E1" s="3">
        <v>1</v>
      </c>
      <c r="F1" s="4">
        <v>1</v>
      </c>
      <c r="G1" s="3">
        <v>2</v>
      </c>
      <c r="H1" s="69" t="str">
        <f>'Base Case'!E1</f>
        <v>LOCAL</v>
      </c>
      <c r="I1" s="5" t="s">
        <v>37</v>
      </c>
      <c r="J1" s="8" t="s">
        <v>167</v>
      </c>
      <c r="K1" s="5"/>
      <c r="L1" s="5"/>
      <c r="M1" s="6"/>
      <c r="N1" s="5"/>
      <c r="O1" s="5"/>
      <c r="P1" s="5"/>
      <c r="Q1" s="5"/>
      <c r="R1" s="5"/>
      <c r="S1" s="5"/>
      <c r="T1" s="7" t="s">
        <v>168</v>
      </c>
      <c r="V1" s="9" t="s">
        <v>25</v>
      </c>
    </row>
    <row r="2" spans="1:22" s="11" customFormat="1" ht="27" customHeight="1" x14ac:dyDescent="0.15">
      <c r="A2" s="52"/>
      <c r="D2" s="10"/>
      <c r="E2" s="12">
        <f>CHOOSE(E1,C6,D6)</f>
        <v>0</v>
      </c>
      <c r="F2" s="13" t="str">
        <f>CHOOSE(F1,U3,V3)</f>
        <v>Includes restatements</v>
      </c>
      <c r="G2" s="12" t="str">
        <f>CHOOSE(G1,U2,V2)</f>
        <v>Median</v>
      </c>
      <c r="H2" s="12" t="s">
        <v>17</v>
      </c>
      <c r="I2" s="67" t="s">
        <v>27</v>
      </c>
      <c r="J2" s="67" t="s">
        <v>235</v>
      </c>
      <c r="K2" s="63"/>
      <c r="L2" s="63"/>
      <c r="M2" s="68" t="s">
        <v>29</v>
      </c>
      <c r="T2" s="15"/>
      <c r="U2" s="16" t="s">
        <v>30</v>
      </c>
      <c r="V2" s="16" t="s">
        <v>31</v>
      </c>
    </row>
    <row r="3" spans="1:22" s="2" customFormat="1" x14ac:dyDescent="0.15">
      <c r="A3" s="17" t="s">
        <v>236</v>
      </c>
      <c r="B3" s="18"/>
      <c r="C3" s="18"/>
      <c r="D3" s="18"/>
      <c r="E3" s="19"/>
      <c r="F3" s="5"/>
      <c r="G3" s="20"/>
      <c r="H3" s="5"/>
      <c r="I3" s="5"/>
      <c r="J3" s="8"/>
      <c r="L3" s="5"/>
      <c r="M3" s="5"/>
      <c r="N3" s="5"/>
      <c r="O3" s="5"/>
      <c r="P3" s="5"/>
      <c r="Q3" s="5"/>
      <c r="R3" s="5"/>
      <c r="S3" s="5"/>
      <c r="T3" s="21"/>
      <c r="U3" s="22" t="s">
        <v>10</v>
      </c>
      <c r="V3" s="22" t="s">
        <v>11</v>
      </c>
    </row>
    <row r="4" spans="1:22" s="2" customFormat="1" x14ac:dyDescent="0.15">
      <c r="A4" s="23" t="str">
        <f>"Financial Statements Summary - "&amp; _xll.FDSC("-",ALLFINSTAT_RWIdentifier,"FG_COMPANY_NAME")&amp;" ("&amp;UPPER(ALLFINSTAT_RWIdentifier)&amp;")"</f>
        <v>Financial Statements Summary - Unum Group (UNM)</v>
      </c>
      <c r="B4" s="24"/>
      <c r="C4" s="24"/>
      <c r="D4" s="24"/>
      <c r="E4" s="18"/>
      <c r="F4" s="18"/>
      <c r="G4" s="18"/>
      <c r="H4" s="18"/>
      <c r="I4" s="5"/>
      <c r="J4" s="5"/>
      <c r="M4" s="5"/>
      <c r="N4" s="5"/>
      <c r="O4" s="5"/>
      <c r="P4" s="5"/>
      <c r="Q4" s="5"/>
      <c r="R4" s="5"/>
      <c r="S4" s="5"/>
      <c r="T4" s="21"/>
      <c r="U4" s="22" t="s">
        <v>39</v>
      </c>
      <c r="V4" s="22" t="s">
        <v>40</v>
      </c>
    </row>
    <row r="5" spans="1:22" s="28" customFormat="1" x14ac:dyDescent="0.15">
      <c r="A5" s="25"/>
      <c r="B5" s="25"/>
      <c r="C5" s="25"/>
      <c r="D5" s="25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7"/>
    </row>
    <row r="6" spans="1:22" s="2" customFormat="1" x14ac:dyDescent="0.15">
      <c r="A6" s="29" t="s">
        <v>41</v>
      </c>
      <c r="B6" s="30"/>
      <c r="C6" s="30"/>
      <c r="D6" s="30" t="s">
        <v>171</v>
      </c>
      <c r="E6" s="31" t="s">
        <v>42</v>
      </c>
      <c r="F6" s="31" t="s">
        <v>43</v>
      </c>
      <c r="G6" s="31" t="s">
        <v>44</v>
      </c>
      <c r="H6" s="31" t="s">
        <v>45</v>
      </c>
      <c r="I6" s="31" t="s">
        <v>46</v>
      </c>
      <c r="J6" s="31" t="s">
        <v>47</v>
      </c>
      <c r="K6" s="31" t="s">
        <v>48</v>
      </c>
      <c r="L6" s="31" t="s">
        <v>49</v>
      </c>
      <c r="M6" s="31" t="s">
        <v>50</v>
      </c>
      <c r="N6" s="31" t="s">
        <v>51</v>
      </c>
      <c r="O6" s="31" t="s">
        <v>52</v>
      </c>
      <c r="P6" s="31"/>
      <c r="Q6" s="31"/>
      <c r="R6" s="31"/>
      <c r="S6" s="31"/>
      <c r="T6" s="32"/>
    </row>
    <row r="7" spans="1:22" s="2" customFormat="1" x14ac:dyDescent="0.15">
      <c r="A7" s="2" t="s">
        <v>58</v>
      </c>
      <c r="E7" s="62" t="str" cm="1">
        <f t="array" ref="E7">_xll.FDSRC("-",$A$1,"CONVERT_DATE(FF_FISCAL_DATE(ANN_R,"&amp;E$6&amp;","&amp;E$6&amp;",,,"""",""DATEJ""),""MM/YYYY"")")</f>
        <v>12/2012</v>
      </c>
      <c r="F7" s="62" t="str" cm="1">
        <f t="array" ref="F7">_xll.FDSRC("-",$A$1,"CONVERT_DATE(FF_FISCAL_DATE(ANN_R,"&amp;F$6&amp;","&amp;F$6&amp;",,,"""",""DATEJ""),""MM/YYYY"")")</f>
        <v>12/2013</v>
      </c>
      <c r="G7" s="62" t="str" cm="1">
        <f t="array" ref="G7">_xll.FDSRC("-",$A$1,"CONVERT_DATE(FF_FISCAL_DATE(ANN_R,"&amp;G$6&amp;","&amp;G$6&amp;",,,"""",""DATEJ""),""MM/YYYY"")")</f>
        <v>12/2014</v>
      </c>
      <c r="H7" s="62" t="str" cm="1">
        <f t="array" ref="H7">_xll.FDSRC("-",$A$1,"CONVERT_DATE(FF_FISCAL_DATE(ANN_R,"&amp;H$6&amp;","&amp;H$6&amp;",,,"""",""DATEJ""),""MM/YYYY"")")</f>
        <v>12/2015</v>
      </c>
      <c r="I7" s="62" t="str" cm="1">
        <f t="array" ref="I7">_xll.FDSRC("-",$A$1,"CONVERT_DATE(FF_FISCAL_DATE(ANN_R,"&amp;I$6&amp;","&amp;I$6&amp;",,,"""",""DATEJ""),""MM/YYYY"")")</f>
        <v>12/2016</v>
      </c>
      <c r="J7" s="62" t="str" cm="1">
        <f t="array" ref="J7">_xll.FDSRC("-",$A$1,"CONVERT_DATE(FF_FISCAL_DATE(ANN_R,"&amp;J$6&amp;","&amp;J$6&amp;",,,"""",""DATEJ""),""MM/YYYY"")")</f>
        <v>12/2017</v>
      </c>
      <c r="K7" s="62" t="str" cm="1">
        <f t="array" ref="K7">_xll.FDSRC("-",$A$1,"CONVERT_DATE(FF_FISCAL_DATE(ANN_R,"&amp;K$6&amp;","&amp;K$6&amp;",,,"""",""DATEJ""),""MM/YYYY"")")</f>
        <v>12/2018</v>
      </c>
      <c r="L7" s="62" t="str" cm="1">
        <f t="array" ref="L7">_xll.FDSRC("-",$A$1,"CONVERT_DATE(FF_FISCAL_DATE(ANN_R,"&amp;L$6&amp;","&amp;L$6&amp;",,,"""",""DATEJ""),""MM/YYYY"")")</f>
        <v>12/2019</v>
      </c>
      <c r="M7" s="62" t="str" cm="1">
        <f t="array" ref="M7">_xll.FDSRC("-",$A$1,"CONVERT_DATE(FF_FISCAL_DATE(ANN_R,"&amp;M$6&amp;","&amp;M$6&amp;",,,"""",""DATEJ""),""MM/YYYY"")")</f>
        <v>12/2020</v>
      </c>
      <c r="N7" s="62" t="str" cm="1">
        <f t="array" ref="N7">_xll.FDSRC("-",$A$1,"CONVERT_DATE(FF_FISCAL_DATE(ANN_R,"&amp;N$6&amp;","&amp;N$6&amp;",,,"""",""DATEJ""),""MM/YYYY"")")</f>
        <v>12/2021</v>
      </c>
      <c r="O7" s="62" t="str" cm="1">
        <f t="array" ref="O7">_xll.FDSRC("-",$A$1,"CONVERT_DATE(FF_FISCAL_DATE(ANN_R,"&amp;O$6&amp;","&amp;O$6&amp;",,,"""",""DATEJ""),""MM/YYYY"")")</f>
        <v>12/2022</v>
      </c>
      <c r="P7" s="33"/>
      <c r="Q7" s="33"/>
      <c r="R7" s="33"/>
      <c r="S7" s="33"/>
      <c r="T7" s="34"/>
    </row>
    <row r="9" spans="1:22" x14ac:dyDescent="0.15">
      <c r="A9" s="56" t="s">
        <v>237</v>
      </c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</row>
    <row r="10" spans="1:22" x14ac:dyDescent="0.15">
      <c r="A10" s="35" t="s">
        <v>173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1:22" x14ac:dyDescent="0.15">
      <c r="A11" s="2" t="s">
        <v>174</v>
      </c>
      <c r="D11" s="2" t="s">
        <v>79</v>
      </c>
      <c r="E11" s="54" cm="1">
        <f t="array" ref="E11">_xll.FDSRC("-",$A$1,"FE_TIMESERIES("&amp;$D11&amp;",MEAN,"&amp;E$6&amp;","&amp;E$6&amp;",FY,'BKRACTMED=1,WIN=0,CURRENCY=USD,UNITS=AUTO,DATE=NOW')")</f>
        <v>10515.4</v>
      </c>
      <c r="F11" s="54" cm="1">
        <f t="array" ref="F11">_xll.FDSRC("-",$A$1,"FE_TIMESERIES("&amp;$D11&amp;",MEAN,"&amp;F$6&amp;","&amp;F$6&amp;",FY,'BKRACTMED=1,WIN=0,CURRENCY=USD,UNITS=AUTO,DATE=NOW')")</f>
        <v>10353.799999999999</v>
      </c>
      <c r="G11" s="54" cm="1">
        <f t="array" ref="G11">_xll.FDSRC("-",$A$1,"FE_TIMESERIES("&amp;$D11&amp;",MEAN,"&amp;G$6&amp;","&amp;G$6&amp;",FY,'BKRACTMED=1,WIN=0,CURRENCY=USD,UNITS=AUTO,DATE=NOW')")</f>
        <v>10509.7</v>
      </c>
      <c r="H11" s="54" cm="1">
        <f t="array" ref="H11">_xll.FDSRC("-",$A$1,"FE_TIMESERIES("&amp;$D11&amp;",MEAN,"&amp;H$6&amp;","&amp;H$6&amp;",FY,'BKRACTMED=1,WIN=0,CURRENCY=USD,UNITS=AUTO,DATE=NOW')")</f>
        <v>10731.3</v>
      </c>
      <c r="I11" s="54" cm="1">
        <f t="array" ref="I11">_xll.FDSRC("-",$A$1,"FE_TIMESERIES("&amp;$D11&amp;",MEAN,"&amp;I$6&amp;","&amp;I$6&amp;",FY,'BKRACTMED=1,WIN=0,CURRENCY=USD,UNITS=AUTO,DATE=NOW')")</f>
        <v>11046.5</v>
      </c>
      <c r="J11" s="54" cm="1">
        <f t="array" ref="J11">_xll.FDSRC("-",$A$1,"FE_TIMESERIES("&amp;$D11&amp;",MEAN,"&amp;J$6&amp;","&amp;J$6&amp;",FY,'BKRACTMED=1,WIN=0,CURRENCY=USD,UNITS=AUTO,DATE=NOW')")</f>
        <v>11286.8</v>
      </c>
      <c r="K11" s="54" cm="1">
        <f t="array" ref="K11">_xll.FDSRC("-",$A$1,"FE_TIMESERIES("&amp;$D11&amp;",MEAN,"&amp;K$6&amp;","&amp;K$6&amp;",FY,'BKRACTMED=1,WIN=0,CURRENCY=USD,UNITS=AUTO,DATE=NOW')")</f>
        <v>11598.5</v>
      </c>
      <c r="L11" s="54" cm="1">
        <f t="array" ref="L11">_xll.FDSRC("-",$A$1,"FE_TIMESERIES("&amp;$D11&amp;",MEAN,"&amp;L$6&amp;","&amp;L$6&amp;",FY,'BKRACTMED=1,WIN=0,CURRENCY=USD,UNITS=AUTO,DATE=NOW')")</f>
        <v>11998.9</v>
      </c>
      <c r="M11" s="54" cm="1">
        <f t="array" ref="M11">_xll.FDSRC("-",$A$1,"FE_TIMESERIES("&amp;$D11&amp;",MEAN,"&amp;M$6&amp;","&amp;M$6&amp;",FY,'BKRACTMED=1,WIN=0,CURRENCY=USD,UNITS=AUTO,DATE=NOW')")</f>
        <v>13162.1</v>
      </c>
      <c r="N11" s="54" cm="1">
        <f t="array" ref="N11">_xll.FDSRC("-",$A$1,"FE_TIMESERIES("&amp;$D11&amp;",MEAN,"&amp;N$6&amp;","&amp;N$6&amp;",FY,'BKRACTMED=1,WIN=0,CURRENCY=USD,UNITS=AUTO,DATE=NOW')")</f>
        <v>12013.8</v>
      </c>
      <c r="O11" s="54" cm="1">
        <f t="array" ref="O11">_xll.FDSRC("-",$A$1,"FE_TIMESERIES("&amp;$D11&amp;",MEAN,"&amp;O$6&amp;","&amp;O$6&amp;",FY,'BKRACTMED=1,WIN=0,CURRENCY=USD,UNITS=AUTO,DATE=NOW')")</f>
        <v>11991</v>
      </c>
    </row>
    <row r="12" spans="1:22" x14ac:dyDescent="0.15">
      <c r="A12" s="2" t="s">
        <v>176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</row>
    <row r="13" spans="1:22" x14ac:dyDescent="0.15">
      <c r="A13" s="2" t="s">
        <v>178</v>
      </c>
      <c r="D13" t="s">
        <v>238</v>
      </c>
      <c r="E13" s="54" t="str" cm="1">
        <f t="array" ref="E13">_xll.FDSRC("-",$A$1,"FE_TIMESERIES("&amp;$D13&amp;",MEAN,"&amp;E$6&amp;","&amp;E$6&amp;",FY,'BKRACTMED=1,WIN=0,CURRENCY=USD,UNITS=AUTO,DATE=NOW')")</f>
        <v>-</v>
      </c>
      <c r="F13" s="54" t="str" cm="1">
        <f t="array" ref="F13">_xll.FDSRC("-",$A$1,"FE_TIMESERIES("&amp;$D13&amp;",MEAN,"&amp;F$6&amp;","&amp;F$6&amp;",FY,'BKRACTMED=1,WIN=0,CURRENCY=USD,UNITS=AUTO,DATE=NOW')")</f>
        <v>-</v>
      </c>
      <c r="G13" s="54" t="str" cm="1">
        <f t="array" ref="G13">_xll.FDSRC("-",$A$1,"FE_TIMESERIES("&amp;$D13&amp;",MEAN,"&amp;G$6&amp;","&amp;G$6&amp;",FY,'BKRACTMED=1,WIN=0,CURRENCY=USD,UNITS=AUTO,DATE=NOW')")</f>
        <v>-</v>
      </c>
      <c r="H13" s="54" t="str" cm="1">
        <f t="array" ref="H13">_xll.FDSRC("-",$A$1,"FE_TIMESERIES("&amp;$D13&amp;",MEAN,"&amp;H$6&amp;","&amp;H$6&amp;",FY,'BKRACTMED=1,WIN=0,CURRENCY=USD,UNITS=AUTO,DATE=NOW')")</f>
        <v>-</v>
      </c>
      <c r="I13" s="54" t="str" cm="1">
        <f t="array" ref="I13">_xll.FDSRC("-",$A$1,"FE_TIMESERIES("&amp;$D13&amp;",MEAN,"&amp;I$6&amp;","&amp;I$6&amp;",FY,'BKRACTMED=1,WIN=0,CURRENCY=USD,UNITS=AUTO,DATE=NOW')")</f>
        <v>-</v>
      </c>
      <c r="J13" s="54" t="str" cm="1">
        <f t="array" ref="J13">_xll.FDSRC("-",$A$1,"FE_TIMESERIES("&amp;$D13&amp;",MEAN,"&amp;J$6&amp;","&amp;J$6&amp;",FY,'BKRACTMED=1,WIN=0,CURRENCY=USD,UNITS=AUTO,DATE=NOW')")</f>
        <v>-</v>
      </c>
      <c r="K13" s="54" t="str" cm="1">
        <f t="array" ref="K13">_xll.FDSRC("-",$A$1,"FE_TIMESERIES("&amp;$D13&amp;",MEAN,"&amp;K$6&amp;","&amp;K$6&amp;",FY,'BKRACTMED=1,WIN=0,CURRENCY=USD,UNITS=AUTO,DATE=NOW')")</f>
        <v>-</v>
      </c>
      <c r="L13" s="54" t="str" cm="1">
        <f t="array" ref="L13">_xll.FDSRC("-",$A$1,"FE_TIMESERIES("&amp;$D13&amp;",MEAN,"&amp;L$6&amp;","&amp;L$6&amp;",FY,'BKRACTMED=1,WIN=0,CURRENCY=USD,UNITS=AUTO,DATE=NOW')")</f>
        <v>-</v>
      </c>
      <c r="M13" s="54" t="str" cm="1">
        <f t="array" ref="M13">_xll.FDSRC("-",$A$1,"FE_TIMESERIES("&amp;$D13&amp;",MEAN,"&amp;M$6&amp;","&amp;M$6&amp;",FY,'BKRACTMED=1,WIN=0,CURRENCY=USD,UNITS=AUTO,DATE=NOW')")</f>
        <v>-</v>
      </c>
      <c r="N13" s="54" t="str" cm="1">
        <f t="array" ref="N13">_xll.FDSRC("-",$A$1,"FE_TIMESERIES("&amp;$D13&amp;",MEAN,"&amp;N$6&amp;","&amp;N$6&amp;",FY,'BKRACTMED=1,WIN=0,CURRENCY=USD,UNITS=AUTO,DATE=NOW')")</f>
        <v>-</v>
      </c>
      <c r="O13" s="54" t="str" cm="1">
        <f t="array" ref="O13">_xll.FDSRC("-",$A$1,"FE_TIMESERIES("&amp;$D13&amp;",MEAN,"&amp;O$6&amp;","&amp;O$6&amp;",FY,'BKRACTMED=1,WIN=0,CURRENCY=USD,UNITS=AUTO,DATE=NOW')")</f>
        <v>-</v>
      </c>
    </row>
    <row r="14" spans="1:22" x14ac:dyDescent="0.15">
      <c r="A14" s="2" t="s">
        <v>180</v>
      </c>
    </row>
    <row r="15" spans="1:22" x14ac:dyDescent="0.15">
      <c r="A15" s="2" t="s">
        <v>82</v>
      </c>
      <c r="D15" s="36" t="s">
        <v>83</v>
      </c>
      <c r="E15" s="54" cm="1">
        <f t="array" ref="E15">_xll.FDSRC("-",$A$1,"FE_TIMESERIES("&amp;$D15&amp;",MEAN,"&amp;E$6&amp;","&amp;E$6&amp;",FY,'BKRACTMED=1,WIN=0,CURRENCY=USD,UNITS=AUTO,DATE=NOW')")</f>
        <v>1239.7</v>
      </c>
      <c r="F15" s="54" cm="1">
        <f t="array" ref="F15">_xll.FDSRC("-",$A$1,"FE_TIMESERIES("&amp;$D15&amp;",MEAN,"&amp;F$6&amp;","&amp;F$6&amp;",FY,'BKRACTMED=1,WIN=0,CURRENCY=USD,UNITS=AUTO,DATE=NOW')")</f>
        <v>1312.21</v>
      </c>
      <c r="G15" s="54" cm="1">
        <f t="array" ref="G15">_xll.FDSRC("-",$A$1,"FE_TIMESERIES("&amp;$D15&amp;",MEAN,"&amp;G$6&amp;","&amp;G$6&amp;",FY,'BKRACTMED=1,WIN=0,CURRENCY=USD,UNITS=AUTO,DATE=NOW')")</f>
        <v>1454.9</v>
      </c>
      <c r="H15" s="54" cm="1">
        <f t="array" ref="H15">_xll.FDSRC("-",$A$1,"FE_TIMESERIES("&amp;$D15&amp;",MEAN,"&amp;H$6&amp;","&amp;H$6&amp;",FY,'BKRACTMED=1,WIN=0,CURRENCY=USD,UNITS=AUTO,DATE=NOW')")</f>
        <v>1294</v>
      </c>
      <c r="I15" s="54" cm="1">
        <f t="array" ref="I15">_xll.FDSRC("-",$A$1,"FE_TIMESERIES("&amp;$D15&amp;",MEAN,"&amp;I$6&amp;","&amp;I$6&amp;",FY,'BKRACTMED=1,WIN=0,CURRENCY=USD,UNITS=AUTO,DATE=NOW')")</f>
        <v>1339.6</v>
      </c>
      <c r="J15" s="54" cm="1">
        <f t="array" ref="J15">_xll.FDSRC("-",$A$1,"FE_TIMESERIES("&amp;$D15&amp;",MEAN,"&amp;J$6&amp;","&amp;J$6&amp;",FY,'BKRACTMED=1,WIN=0,CURRENCY=USD,UNITS=AUTO,DATE=NOW')")</f>
        <v>1423.3</v>
      </c>
      <c r="K15" s="54" cm="1">
        <f t="array" ref="K15">_xll.FDSRC("-",$A$1,"FE_TIMESERIES("&amp;$D15&amp;",MEAN,"&amp;K$6&amp;","&amp;K$6&amp;",FY,'BKRACTMED=1,WIN=0,CURRENCY=USD,UNITS=AUTO,DATE=NOW')")</f>
        <v>667.3</v>
      </c>
      <c r="L15" s="54" cm="1">
        <f t="array" ref="L15">_xll.FDSRC("-",$A$1,"FE_TIMESERIES("&amp;$D15&amp;",MEAN,"&amp;L$6&amp;","&amp;L$6&amp;",FY,'BKRACTMED=1,WIN=0,CURRENCY=USD,UNITS=AUTO,DATE=NOW')")</f>
        <v>1425.2</v>
      </c>
      <c r="M15" s="54" cm="1">
        <f t="array" ref="M15">_xll.FDSRC("-",$A$1,"FE_TIMESERIES("&amp;$D15&amp;",MEAN,"&amp;M$6&amp;","&amp;M$6&amp;",FY,'BKRACTMED=1,WIN=0,CURRENCY=USD,UNITS=AUTO,DATE=NOW')")</f>
        <v>1005</v>
      </c>
      <c r="N15" s="54" cm="1">
        <f t="array" ref="N15">_xll.FDSRC("-",$A$1,"FE_TIMESERIES("&amp;$D15&amp;",MEAN,"&amp;N$6&amp;","&amp;N$6&amp;",FY,'BKRACTMED=1,WIN=0,CURRENCY=USD,UNITS=AUTO,DATE=NOW')")</f>
        <v>986.3</v>
      </c>
      <c r="O15" s="54" cm="1">
        <f t="array" ref="O15">_xll.FDSRC("-",$A$1,"FE_TIMESERIES("&amp;$D15&amp;",MEAN,"&amp;O$6&amp;","&amp;O$6&amp;",FY,'BKRACTMED=1,WIN=0,CURRENCY=USD,UNITS=AUTO,DATE=NOW')")</f>
        <v>1447</v>
      </c>
    </row>
    <row r="16" spans="1:22" x14ac:dyDescent="0.15">
      <c r="A16" s="2" t="s">
        <v>182</v>
      </c>
      <c r="D16" t="s">
        <v>239</v>
      </c>
      <c r="E16" s="54" cm="1">
        <f t="array" ref="E16">_xll.FDSRC("-",$A$1,"FE_TIMESERIES("&amp;$D16&amp;",MEAN,"&amp;E$6&amp;","&amp;E$6&amp;",FY,'BKRACTMED=1,WIN=0,CURRENCY=USD,UNITS=AUTO,DATE=NOW')")</f>
        <v>139.69999999999999</v>
      </c>
      <c r="F16" s="54" cm="1">
        <f t="array" ref="F16">_xll.FDSRC("-",$A$1,"FE_TIMESERIES("&amp;$D16&amp;",MEAN,"&amp;F$6&amp;","&amp;F$6&amp;",FY,'BKRACTMED=1,WIN=0,CURRENCY=USD,UNITS=AUTO,DATE=NOW')")</f>
        <v>145.35</v>
      </c>
      <c r="G16" s="54" cm="1">
        <f t="array" ref="G16">_xll.FDSRC("-",$A$1,"FE_TIMESERIES("&amp;$D16&amp;",MEAN,"&amp;G$6&amp;","&amp;G$6&amp;",FY,'BKRACTMED=1,WIN=0,CURRENCY=USD,UNITS=AUTO,DATE=NOW')")</f>
        <v>149.9</v>
      </c>
      <c r="H16" s="54" cm="1">
        <f t="array" ref="H16">_xll.FDSRC("-",$A$1,"FE_TIMESERIES("&amp;$D16&amp;",MEAN,"&amp;H$6&amp;","&amp;H$6&amp;",FY,'BKRACTMED=1,WIN=0,CURRENCY=USD,UNITS=AUTO,DATE=NOW')")</f>
        <v>160.6</v>
      </c>
      <c r="I16" s="54" cm="1">
        <f t="array" ref="I16">_xll.FDSRC("-",$A$1,"FE_TIMESERIES("&amp;$D16&amp;",MEAN,"&amp;I$6&amp;","&amp;I$6&amp;",FY,'BKRACTMED=1,WIN=0,CURRENCY=USD,UNITS=AUTO,DATE=NOW')")</f>
        <v>159.1</v>
      </c>
      <c r="J16" s="54" cm="1">
        <f t="array" ref="J16">_xll.FDSRC("-",$A$1,"FE_TIMESERIES("&amp;$D16&amp;",MEAN,"&amp;J$6&amp;","&amp;J$6&amp;",FY,'BKRACTMED=1,WIN=0,CURRENCY=USD,UNITS=AUTO,DATE=NOW')")</f>
        <v>153.19999999999999</v>
      </c>
      <c r="K16" s="54" cm="1">
        <f t="array" ref="K16">_xll.FDSRC("-",$A$1,"FE_TIMESERIES("&amp;$D16&amp;",MEAN,"&amp;K$6&amp;","&amp;K$6&amp;",FY,'BKRACTMED=1,WIN=0,CURRENCY=USD,UNITS=AUTO,DATE=NOW')")</f>
        <v>160.4</v>
      </c>
      <c r="L16" s="54" cm="1">
        <f t="array" ref="L16">_xll.FDSRC("-",$A$1,"FE_TIMESERIES("&amp;$D16&amp;",MEAN,"&amp;L$6&amp;","&amp;L$6&amp;",FY,'BKRACTMED=1,WIN=0,CURRENCY=USD,UNITS=AUTO,DATE=NOW')")</f>
        <v>172.1</v>
      </c>
      <c r="M16" s="54" cm="1">
        <f t="array" ref="M16">_xll.FDSRC("-",$A$1,"FE_TIMESERIES("&amp;$D16&amp;",MEAN,"&amp;M$6&amp;","&amp;M$6&amp;",FY,'BKRACTMED=1,WIN=0,CURRENCY=USD,UNITS=AUTO,DATE=NOW')")</f>
        <v>185.1</v>
      </c>
      <c r="N16" s="54" cm="1">
        <f t="array" ref="N16">_xll.FDSRC("-",$A$1,"FE_TIMESERIES("&amp;$D16&amp;",MEAN,"&amp;N$6&amp;","&amp;N$6&amp;",FY,'BKRACTMED=1,WIN=0,CURRENCY=USD,UNITS=AUTO,DATE=NOW')")</f>
        <v>198.5</v>
      </c>
      <c r="O16" s="54" cm="1">
        <f t="array" ref="O16">_xll.FDSRC("-",$A$1,"FE_TIMESERIES("&amp;$D16&amp;",MEAN,"&amp;O$6&amp;","&amp;O$6&amp;",FY,'BKRACTMED=1,WIN=0,CURRENCY=USD,UNITS=AUTO,DATE=NOW')")</f>
        <v>204.9</v>
      </c>
    </row>
    <row r="17" spans="1:15" x14ac:dyDescent="0.15">
      <c r="A17" s="40" t="s">
        <v>90</v>
      </c>
      <c r="E17" s="54" t="s">
        <v>240</v>
      </c>
      <c r="F17" s="54" t="s">
        <v>240</v>
      </c>
      <c r="G17" s="54" t="s">
        <v>240</v>
      </c>
      <c r="H17" s="54" t="s">
        <v>240</v>
      </c>
      <c r="I17" s="54" t="s">
        <v>240</v>
      </c>
      <c r="J17" s="54" t="s">
        <v>240</v>
      </c>
      <c r="K17" s="54" t="s">
        <v>240</v>
      </c>
      <c r="L17" s="54" t="s">
        <v>240</v>
      </c>
      <c r="M17" s="54" t="s">
        <v>240</v>
      </c>
      <c r="N17" s="54" t="s">
        <v>240</v>
      </c>
      <c r="O17" s="54" t="s">
        <v>240</v>
      </c>
    </row>
    <row r="18" spans="1:15" x14ac:dyDescent="0.15">
      <c r="A18" s="2" t="s">
        <v>91</v>
      </c>
      <c r="E18" s="54" t="s">
        <v>240</v>
      </c>
      <c r="F18" s="54" t="s">
        <v>240</v>
      </c>
      <c r="G18" s="54" t="s">
        <v>240</v>
      </c>
      <c r="H18" s="54" t="s">
        <v>240</v>
      </c>
      <c r="I18" s="54" t="s">
        <v>240</v>
      </c>
      <c r="J18" s="54" t="s">
        <v>240</v>
      </c>
      <c r="K18" s="54" t="s">
        <v>240</v>
      </c>
      <c r="L18" s="54" t="s">
        <v>240</v>
      </c>
      <c r="M18" s="54" t="s">
        <v>240</v>
      </c>
      <c r="N18" s="54" t="s">
        <v>240</v>
      </c>
      <c r="O18" s="54" t="s">
        <v>240</v>
      </c>
    </row>
    <row r="19" spans="1:15" x14ac:dyDescent="0.15">
      <c r="A19" s="2" t="s">
        <v>93</v>
      </c>
      <c r="D19" t="s">
        <v>241</v>
      </c>
      <c r="E19" s="54" cm="1">
        <f t="array" ref="E19">_xll.FDSRC("-",$A$1,"FE_TIMESERIES("&amp;$D19&amp;",MEAN,"&amp;E$6&amp;","&amp;E$6&amp;",FY,'BKRACTMED=1,WIN=0,CURRENCY=USD,UNITS=AUTO,DATE=NOW')")</f>
        <v>1239.7</v>
      </c>
      <c r="F19" s="54" cm="1">
        <f t="array" ref="F19">_xll.FDSRC("-",$A$1,"FE_TIMESERIES("&amp;$D19&amp;",MEAN,"&amp;F$6&amp;","&amp;F$6&amp;",FY,'BKRACTMED=1,WIN=0,CURRENCY=USD,UNITS=AUTO,DATE=NOW')")</f>
        <v>1231.3</v>
      </c>
      <c r="G19" s="54" cm="1">
        <f t="array" ref="G19">_xll.FDSRC("-",$A$1,"FE_TIMESERIES("&amp;$D19&amp;",MEAN,"&amp;G$6&amp;","&amp;G$6&amp;",FY,'BKRACTMED=1,WIN=0,CURRENCY=USD,UNITS=AUTO,DATE=NOW')")</f>
        <v>581.1</v>
      </c>
      <c r="H19" s="54" cm="1">
        <f t="array" ref="H19">_xll.FDSRC("-",$A$1,"FE_TIMESERIES("&amp;$D19&amp;",MEAN,"&amp;H$6&amp;","&amp;H$6&amp;",FY,'BKRACTMED=1,WIN=0,CURRENCY=USD,UNITS=AUTO,DATE=NOW')")</f>
        <v>1294</v>
      </c>
      <c r="I19" s="54" cm="1">
        <f t="array" ref="I19">_xll.FDSRC("-",$A$1,"FE_TIMESERIES("&amp;$D19&amp;",MEAN,"&amp;I$6&amp;","&amp;I$6&amp;",FY,'BKRACTMED=1,WIN=0,CURRENCY=USD,UNITS=AUTO,DATE=NOW')")</f>
        <v>1339.8</v>
      </c>
      <c r="J19" s="54" cm="1">
        <f t="array" ref="J19">_xll.FDSRC("-",$A$1,"FE_TIMESERIES("&amp;$D19&amp;",MEAN,"&amp;J$6&amp;","&amp;J$6&amp;",FY,'BKRACTMED=1,WIN=0,CURRENCY=USD,UNITS=AUTO,DATE=NOW')")</f>
        <v>1415.2</v>
      </c>
      <c r="K19" s="54" cm="1">
        <f t="array" ref="K19">_xll.FDSRC("-",$A$1,"FE_TIMESERIES("&amp;$D19&amp;",MEAN,"&amp;K$6&amp;","&amp;K$6&amp;",FY,'BKRACTMED=1,WIN=0,CURRENCY=USD,UNITS=AUTO,DATE=NOW')")</f>
        <v>667.3</v>
      </c>
      <c r="L19" s="54" cm="1">
        <f t="array" ref="L19">_xll.FDSRC("-",$A$1,"FE_TIMESERIES("&amp;$D19&amp;",MEAN,"&amp;L$6&amp;","&amp;L$6&amp;",FY,'BKRACTMED=1,WIN=0,CURRENCY=USD,UNITS=AUTO,DATE=NOW')")</f>
        <v>1428.9</v>
      </c>
      <c r="M19" s="54" cm="1">
        <f t="array" ref="M19">_xll.FDSRC("-",$A$1,"FE_TIMESERIES("&amp;$D19&amp;",MEAN,"&amp;M$6&amp;","&amp;M$6&amp;",FY,'BKRACTMED=1,WIN=0,CURRENCY=USD,UNITS=AUTO,DATE=NOW')")</f>
        <v>1278</v>
      </c>
      <c r="N19" s="54" cm="1">
        <f t="array" ref="N19">_xll.FDSRC("-",$A$1,"FE_TIMESERIES("&amp;$D19&amp;",MEAN,"&amp;N$6&amp;","&amp;N$6&amp;",FY,'BKRACTMED=1,WIN=0,CURRENCY=USD,UNITS=AUTO,DATE=NOW')")</f>
        <v>1089.45</v>
      </c>
      <c r="O19" s="54" cm="1">
        <f t="array" ref="O19">_xll.FDSRC("-",$A$1,"FE_TIMESERIES("&amp;$D19&amp;",MEAN,"&amp;O$6&amp;","&amp;O$6&amp;",FY,'BKRACTMED=1,WIN=0,CURRENCY=USD,UNITS=AUTO,DATE=NOW')")</f>
        <v>1602.2</v>
      </c>
    </row>
    <row r="20" spans="1:15" x14ac:dyDescent="0.15">
      <c r="A20" s="39" t="s">
        <v>95</v>
      </c>
    </row>
    <row r="21" spans="1:15" x14ac:dyDescent="0.15">
      <c r="A21" s="2" t="s">
        <v>187</v>
      </c>
      <c r="D21" t="s">
        <v>96</v>
      </c>
      <c r="E21" s="54" cm="1">
        <f t="array" ref="E21">_xll.FDSRC("-",$A$1,"FE_TIMESERIES("&amp;$D21&amp;",MEAN,"&amp;E$6&amp;","&amp;E$6&amp;",FY,'BKRACTMED=1,WIN=0,CURRENCY=USD,UNITS=AUTO,DATE=NOW')")</f>
        <v>352.2</v>
      </c>
      <c r="F21" s="54" cm="1">
        <f t="array" ref="F21">_xll.FDSRC("-",$A$1,"FE_TIMESERIES("&amp;$D21&amp;",MEAN,"&amp;F$6&amp;","&amp;F$6&amp;",FY,'BKRACTMED=1,WIN=0,CURRENCY=USD,UNITS=AUTO,DATE=NOW')")</f>
        <v>355.7</v>
      </c>
      <c r="G21" s="54" cm="1">
        <f t="array" ref="G21">_xll.FDSRC("-",$A$1,"FE_TIMESERIES("&amp;$D21&amp;",MEAN,"&amp;G$6&amp;","&amp;G$6&amp;",FY,'BKRACTMED=1,WIN=0,CURRENCY=USD,UNITS=AUTO,DATE=NOW')")</f>
        <v>136.30000000000001</v>
      </c>
      <c r="H21" s="54" cm="1">
        <f t="array" ref="H21">_xll.FDSRC("-",$A$1,"FE_TIMESERIES("&amp;$D21&amp;",MEAN,"&amp;H$6&amp;","&amp;H$6&amp;",FY,'BKRACTMED=1,WIN=0,CURRENCY=USD,UNITS=AUTO,DATE=NOW')")</f>
        <v>393</v>
      </c>
      <c r="I21" s="54" cm="1">
        <f t="array" ref="I21">_xll.FDSRC("-",$A$1,"FE_TIMESERIES("&amp;$D21&amp;",MEAN,"&amp;I$6&amp;","&amp;I$6&amp;",FY,'BKRACTMED=1,WIN=0,CURRENCY=USD,UNITS=AUTO,DATE=NOW')")</f>
        <v>413.6</v>
      </c>
      <c r="J21" s="54" cm="1">
        <f t="array" ref="J21">_xll.FDSRC("-",$A$1,"FE_TIMESERIES("&amp;$D21&amp;",MEAN,"&amp;J$6&amp;","&amp;J$6&amp;",FY,'BKRACTMED=1,WIN=0,CURRENCY=USD,UNITS=AUTO,DATE=NOW')")</f>
        <v>436.8</v>
      </c>
      <c r="K21" s="54" cm="1">
        <f t="array" ref="K21">_xll.FDSRC("-",$A$1,"FE_TIMESERIES("&amp;$D21&amp;",MEAN,"&amp;K$6&amp;","&amp;K$6&amp;",FY,'BKRACTMED=1,WIN=0,CURRENCY=USD,UNITS=AUTO,DATE=NOW')")</f>
        <v>115.4</v>
      </c>
      <c r="L21" s="54" cm="1">
        <f t="array" ref="L21">_xll.FDSRC("-",$A$1,"FE_TIMESERIES("&amp;$D21&amp;",MEAN,"&amp;L$6&amp;","&amp;L$6&amp;",FY,'BKRACTMED=1,WIN=0,CURRENCY=USD,UNITS=AUTO,DATE=NOW')")</f>
        <v>284.55</v>
      </c>
      <c r="M21" s="54" cm="1">
        <f t="array" ref="M21">_xll.FDSRC("-",$A$1,"FE_TIMESERIES("&amp;$D21&amp;",MEAN,"&amp;M$6&amp;","&amp;M$6&amp;",FY,'BKRACTMED=1,WIN=0,CURRENCY=USD,UNITS=AUTO,DATE=NOW')")</f>
        <v>233.45</v>
      </c>
      <c r="N21" s="54" cm="1">
        <f t="array" ref="N21">_xll.FDSRC("-",$A$1,"FE_TIMESERIES("&amp;$D21&amp;",MEAN,"&amp;N$6&amp;","&amp;N$6&amp;",FY,'BKRACTMED=1,WIN=0,CURRENCY=USD,UNITS=AUTO,DATE=NOW')")</f>
        <v>225.9</v>
      </c>
      <c r="O21" s="54" cm="1">
        <f t="array" ref="O21">_xll.FDSRC("-",$A$1,"FE_TIMESERIES("&amp;$D21&amp;",MEAN,"&amp;O$6&amp;","&amp;O$6&amp;",FY,'BKRACTMED=1,WIN=0,CURRENCY=USD,UNITS=AUTO,DATE=NOW')")</f>
        <v>302</v>
      </c>
    </row>
    <row r="22" spans="1:15" x14ac:dyDescent="0.15">
      <c r="A22" s="41" t="s">
        <v>99</v>
      </c>
      <c r="D22" t="s">
        <v>242</v>
      </c>
      <c r="E22" s="58" cm="1">
        <f t="array" ref="E22">_xll.FDSRC("-",$A$1,"FE_TIMESERIES("&amp;$D22&amp;",MEAN,"&amp;E$6&amp;","&amp;E$6&amp;",FY,'BKRACTMED=1,WIN=0,CURRENCY=USD,UNITS=AUTO,DATE=NOW')")</f>
        <v>894.4</v>
      </c>
      <c r="F22" s="58" cm="1">
        <f t="array" ref="F22">_xll.FDSRC("-",$A$1,"FE_TIMESERIES("&amp;$D22&amp;",MEAN,"&amp;F$6&amp;","&amp;F$6&amp;",FY,'BKRACTMED=1,WIN=0,CURRENCY=USD,UNITS=AUTO,DATE=NOW')")</f>
        <v>858.1</v>
      </c>
      <c r="G22" s="58" cm="1">
        <f t="array" ref="G22">_xll.FDSRC("-",$A$1,"FE_TIMESERIES("&amp;$D22&amp;",MEAN,"&amp;G$6&amp;","&amp;G$6&amp;",FY,'BKRACTMED=1,WIN=0,CURRENCY=USD,UNITS=AUTO,DATE=NOW')")</f>
        <v>413.4</v>
      </c>
      <c r="H22" s="58" cm="1">
        <f t="array" ref="H22">_xll.FDSRC("-",$A$1,"FE_TIMESERIES("&amp;$D22&amp;",MEAN,"&amp;H$6&amp;","&amp;H$6&amp;",FY,'BKRACTMED=1,WIN=0,CURRENCY=USD,UNITS=AUTO,DATE=NOW')")</f>
        <v>867.1</v>
      </c>
      <c r="I22" s="58" cm="1">
        <f t="array" ref="I22">_xll.FDSRC("-",$A$1,"FE_TIMESERIES("&amp;$D22&amp;",MEAN,"&amp;I$6&amp;","&amp;I$6&amp;",FY,'BKRACTMED=1,WIN=0,CURRENCY=USD,UNITS=AUTO,DATE=NOW')")</f>
        <v>931.4</v>
      </c>
      <c r="J22" s="58" cm="1">
        <f t="array" ref="J22">_xll.FDSRC("-",$A$1,"FE_TIMESERIES("&amp;$D22&amp;",MEAN,"&amp;J$6&amp;","&amp;J$6&amp;",FY,'BKRACTMED=1,WIN=0,CURRENCY=USD,UNITS=AUTO,DATE=NOW')")</f>
        <v>994.2</v>
      </c>
      <c r="K22" s="58" cm="1">
        <f t="array" ref="K22">_xll.FDSRC("-",$A$1,"FE_TIMESERIES("&amp;$D22&amp;",MEAN,"&amp;K$6&amp;","&amp;K$6&amp;",FY,'BKRACTMED=1,WIN=0,CURRENCY=USD,UNITS=AUTO,DATE=NOW')")</f>
        <v>523.4</v>
      </c>
      <c r="L22" s="58" cm="1">
        <f t="array" ref="L22">_xll.FDSRC("-",$A$1,"FE_TIMESERIES("&amp;$D22&amp;",MEAN,"&amp;L$6&amp;","&amp;L$6&amp;",FY,'BKRACTMED=1,WIN=0,CURRENCY=USD,UNITS=AUTO,DATE=NOW')")</f>
        <v>1100.3</v>
      </c>
      <c r="M22" s="58" cm="1">
        <f t="array" ref="M22">_xll.FDSRC("-",$A$1,"FE_TIMESERIES("&amp;$D22&amp;",MEAN,"&amp;M$6&amp;","&amp;M$6&amp;",FY,'BKRACTMED=1,WIN=0,CURRENCY=USD,UNITS=AUTO,DATE=NOW')")</f>
        <v>1005.4</v>
      </c>
      <c r="N22" s="58" cm="1">
        <f t="array" ref="N22">_xll.FDSRC("-",$A$1,"FE_TIMESERIES("&amp;$D22&amp;",MEAN,"&amp;N$6&amp;","&amp;N$6&amp;",FY,'BKRACTMED=1,WIN=0,CURRENCY=USD,UNITS=AUTO,DATE=NOW')")</f>
        <v>890.7</v>
      </c>
      <c r="O22" s="58" cm="1">
        <f t="array" ref="O22">_xll.FDSRC("-",$A$1,"FE_TIMESERIES("&amp;$D22&amp;",MEAN,"&amp;O$6&amp;","&amp;O$6&amp;",FY,'BKRACTMED=1,WIN=0,CURRENCY=USD,UNITS=AUTO,DATE=NOW')")</f>
        <v>1254.3</v>
      </c>
    </row>
    <row r="23" spans="1:15" x14ac:dyDescent="0.15">
      <c r="A23" s="41"/>
    </row>
    <row r="24" spans="1:15" x14ac:dyDescent="0.15">
      <c r="A24" s="42" t="s">
        <v>105</v>
      </c>
      <c r="E24" s="54" t="s">
        <v>240</v>
      </c>
      <c r="F24" s="54" t="s">
        <v>240</v>
      </c>
      <c r="G24" s="54" t="s">
        <v>240</v>
      </c>
      <c r="H24" s="54" t="s">
        <v>240</v>
      </c>
      <c r="I24" s="54" t="s">
        <v>240</v>
      </c>
      <c r="J24" s="54" t="s">
        <v>240</v>
      </c>
      <c r="K24" s="54" t="s">
        <v>240</v>
      </c>
      <c r="L24" s="54" t="s">
        <v>240</v>
      </c>
      <c r="M24" s="54" t="s">
        <v>240</v>
      </c>
      <c r="N24" s="54" t="s">
        <v>240</v>
      </c>
      <c r="O24" s="54" t="s">
        <v>240</v>
      </c>
    </row>
    <row r="25" spans="1:15" x14ac:dyDescent="0.15">
      <c r="A25" s="43" t="s">
        <v>106</v>
      </c>
      <c r="D25" s="61" t="s">
        <v>243</v>
      </c>
      <c r="E25" s="59" cm="1">
        <f t="array" ref="E25">_xll.FDSRC("-",$A$1,"FE_TIMESERIES("&amp;$D25&amp;",MEAN,"&amp;E$6&amp;","&amp;E$6&amp;",FY,'BKRACTMED=1,WIN=0,CURRENCY=USD,UNITS=AUTO,DATE=NOW')")</f>
        <v>3.15</v>
      </c>
      <c r="F25" s="59" cm="1">
        <f t="array" ref="F25">_xll.FDSRC("-",$A$1,"FE_TIMESERIES("&amp;$D25&amp;",MEAN,"&amp;F$6&amp;","&amp;F$6&amp;",FY,'BKRACTMED=1,WIN=0,CURRENCY=USD,UNITS=AUTO,DATE=NOW')")</f>
        <v>3.32</v>
      </c>
      <c r="G25" s="59" cm="1">
        <f t="array" ref="G25">_xll.FDSRC("-",$A$1,"FE_TIMESERIES("&amp;$D25&amp;",MEAN,"&amp;G$6&amp;","&amp;G$6&amp;",FY,'BKRACTMED=1,WIN=0,CURRENCY=USD,UNITS=AUTO,DATE=NOW')")</f>
        <v>3.55</v>
      </c>
      <c r="H25" s="59" cm="1">
        <f t="array" ref="H25">_xll.FDSRC("-",$A$1,"FE_TIMESERIES("&amp;$D25&amp;",MEAN,"&amp;H$6&amp;","&amp;H$6&amp;",FY,'BKRACTMED=1,WIN=0,CURRENCY=USD,UNITS=AUTO,DATE=NOW')")</f>
        <v>3.64</v>
      </c>
      <c r="I25" s="59" cm="1">
        <f t="array" ref="I25">_xll.FDSRC("-",$A$1,"FE_TIMESERIES("&amp;$D25&amp;",MEAN,"&amp;I$6&amp;","&amp;I$6&amp;",FY,'BKRACTMED=1,WIN=0,CURRENCY=USD,UNITS=AUTO,DATE=NOW')")</f>
        <v>3.92</v>
      </c>
      <c r="J25" s="59" cm="1">
        <f t="array" ref="J25">_xll.FDSRC("-",$A$1,"FE_TIMESERIES("&amp;$D25&amp;",MEAN,"&amp;J$6&amp;","&amp;J$6&amp;",FY,'BKRACTMED=1,WIN=0,CURRENCY=USD,UNITS=AUTO,DATE=NOW')")</f>
        <v>4.29</v>
      </c>
      <c r="K25" s="59" cm="1">
        <f t="array" ref="K25">_xll.FDSRC("-",$A$1,"FE_TIMESERIES("&amp;$D25&amp;",MEAN,"&amp;K$6&amp;","&amp;K$6&amp;",FY,'BKRACTMED=1,WIN=0,CURRENCY=USD,UNITS=AUTO,DATE=NOW')")</f>
        <v>5.2</v>
      </c>
      <c r="L25" s="59" cm="1">
        <f t="array" ref="L25">_xll.FDSRC("-",$A$1,"FE_TIMESERIES("&amp;$D25&amp;",MEAN,"&amp;L$6&amp;","&amp;L$6&amp;",FY,'BKRACTMED=1,WIN=0,CURRENCY=USD,UNITS=AUTO,DATE=NOW')")</f>
        <v>5.44</v>
      </c>
      <c r="M25" s="59" cm="1">
        <f t="array" ref="M25">_xll.FDSRC("-",$A$1,"FE_TIMESERIES("&amp;$D25&amp;",MEAN,"&amp;M$6&amp;","&amp;M$6&amp;",FY,'BKRACTMED=1,WIN=0,CURRENCY=USD,UNITS=AUTO,DATE=NOW')")</f>
        <v>4.93</v>
      </c>
      <c r="N25" s="59" cm="1">
        <f t="array" ref="N25">_xll.FDSRC("-",$A$1,"FE_TIMESERIES("&amp;$D25&amp;",MEAN,"&amp;N$6&amp;","&amp;N$6&amp;",FY,'BKRACTMED=1,WIN=0,CURRENCY=USD,UNITS=AUTO,DATE=NOW')")</f>
        <v>4.3499999999999996</v>
      </c>
      <c r="O25" s="59" cm="1">
        <f t="array" ref="O25">_xll.FDSRC("-",$A$1,"FE_TIMESERIES("&amp;$D25&amp;",MEAN,"&amp;O$6&amp;","&amp;O$6&amp;",FY,'BKRACTMED=1,WIN=0,CURRENCY=USD,UNITS=AUTO,DATE=NOW')")</f>
        <v>6.21</v>
      </c>
    </row>
    <row r="26" spans="1:15" x14ac:dyDescent="0.15">
      <c r="A26" s="43"/>
    </row>
    <row r="27" spans="1:15" x14ac:dyDescent="0.15">
      <c r="A27" s="35" t="s">
        <v>192</v>
      </c>
    </row>
    <row r="28" spans="1:15" x14ac:dyDescent="0.15">
      <c r="A28" s="44" t="s">
        <v>108</v>
      </c>
      <c r="D28" t="s">
        <v>244</v>
      </c>
      <c r="E28" s="54" t="str" cm="1">
        <f t="array" ref="E28">_xll.FDSRC("-",$A$1,"FE_TIMESERIES("&amp;$D28&amp;",MEAN,"&amp;E$6&amp;","&amp;E$6&amp;",FY,'BKRACTMED=1,WIN=0,CURRENCY=USD,UNITS=AUTO,DATE=NOW')")</f>
        <v>-</v>
      </c>
      <c r="F28" s="54" t="str" cm="1">
        <f t="array" ref="F28">_xll.FDSRC("-",$A$1,"FE_TIMESERIES("&amp;$D28&amp;",MEAN,"&amp;F$6&amp;","&amp;F$6&amp;",FY,'BKRACTMED=1,WIN=0,CURRENCY=USD,UNITS=AUTO,DATE=NOW')")</f>
        <v>-</v>
      </c>
      <c r="G28" s="54" t="str" cm="1">
        <f t="array" ref="G28">_xll.FDSRC("-",$A$1,"FE_TIMESERIES("&amp;$D28&amp;",MEAN,"&amp;G$6&amp;","&amp;G$6&amp;",FY,'BKRACTMED=1,WIN=0,CURRENCY=USD,UNITS=AUTO,DATE=NOW')")</f>
        <v>-</v>
      </c>
      <c r="H28" s="54" t="str" cm="1">
        <f t="array" ref="H28">_xll.FDSRC("-",$A$1,"FE_TIMESERIES("&amp;$D28&amp;",MEAN,"&amp;H$6&amp;","&amp;H$6&amp;",FY,'BKRACTMED=1,WIN=0,CURRENCY=USD,UNITS=AUTO,DATE=NOW')")</f>
        <v>-</v>
      </c>
      <c r="I28" s="54" t="str" cm="1">
        <f t="array" ref="I28">_xll.FDSRC("-",$A$1,"FE_TIMESERIES("&amp;$D28&amp;",MEAN,"&amp;I$6&amp;","&amp;I$6&amp;",FY,'BKRACTMED=1,WIN=0,CURRENCY=USD,UNITS=AUTO,DATE=NOW')")</f>
        <v>-</v>
      </c>
      <c r="J28" s="54" t="str" cm="1">
        <f t="array" ref="J28">_xll.FDSRC("-",$A$1,"FE_TIMESERIES("&amp;$D28&amp;",MEAN,"&amp;J$6&amp;","&amp;J$6&amp;",FY,'BKRACTMED=1,WIN=0,CURRENCY=USD,UNITS=AUTO,DATE=NOW')")</f>
        <v>-</v>
      </c>
      <c r="K28" s="54" t="str" cm="1">
        <f t="array" ref="K28">_xll.FDSRC("-",$A$1,"FE_TIMESERIES("&amp;$D28&amp;",MEAN,"&amp;K$6&amp;","&amp;K$6&amp;",FY,'BKRACTMED=1,WIN=0,CURRENCY=USD,UNITS=AUTO,DATE=NOW')")</f>
        <v>-</v>
      </c>
      <c r="L28" s="54" t="str" cm="1">
        <f t="array" ref="L28">_xll.FDSRC("-",$A$1,"FE_TIMESERIES("&amp;$D28&amp;",MEAN,"&amp;L$6&amp;","&amp;L$6&amp;",FY,'BKRACTMED=1,WIN=0,CURRENCY=USD,UNITS=AUTO,DATE=NOW')")</f>
        <v>-</v>
      </c>
      <c r="M28" s="54" t="str" cm="1">
        <f t="array" ref="M28">_xll.FDSRC("-",$A$1,"FE_TIMESERIES("&amp;$D28&amp;",MEAN,"&amp;M$6&amp;","&amp;M$6&amp;",FY,'BKRACTMED=1,WIN=0,CURRENCY=USD,UNITS=AUTO,DATE=NOW')")</f>
        <v>-</v>
      </c>
      <c r="N28" s="54" t="str" cm="1">
        <f t="array" ref="N28">_xll.FDSRC("-",$A$1,"FE_TIMESERIES("&amp;$D28&amp;",MEAN,"&amp;N$6&amp;","&amp;N$6&amp;",FY,'BKRACTMED=1,WIN=0,CURRENCY=USD,UNITS=AUTO,DATE=NOW')")</f>
        <v>-</v>
      </c>
      <c r="O28" s="54" t="str" cm="1">
        <f t="array" ref="O28">_xll.FDSRC("-",$A$1,"FE_TIMESERIES("&amp;$D28&amp;",MEAN,"&amp;O$6&amp;","&amp;O$6&amp;",FY,'BKRACTMED=1,WIN=0,CURRENCY=USD,UNITS=AUTO,DATE=NOW')")</f>
        <v>-</v>
      </c>
    </row>
    <row r="29" spans="1:15" x14ac:dyDescent="0.15">
      <c r="A29" s="44" t="s">
        <v>109</v>
      </c>
      <c r="D29" t="s">
        <v>245</v>
      </c>
      <c r="E29" s="54" t="str" cm="1">
        <f t="array" ref="E29">_xll.FDSRC("-",$A$1,"FE_TIMESERIES("&amp;$D29&amp;",MEAN,"&amp;E$6&amp;","&amp;E$6&amp;",FY,'BKRACTMED=1,WIN=0,CURRENCY=USD,UNITS=AUTO,DATE=NOW')")</f>
        <v>-</v>
      </c>
      <c r="F29" s="54" t="str" cm="1">
        <f t="array" ref="F29">_xll.FDSRC("-",$A$1,"FE_TIMESERIES("&amp;$D29&amp;",MEAN,"&amp;F$6&amp;","&amp;F$6&amp;",FY,'BKRACTMED=1,WIN=0,CURRENCY=USD,UNITS=AUTO,DATE=NOW')")</f>
        <v>-</v>
      </c>
      <c r="G29" s="54" t="str" cm="1">
        <f t="array" ref="G29">_xll.FDSRC("-",$A$1,"FE_TIMESERIES("&amp;$D29&amp;",MEAN,"&amp;G$6&amp;","&amp;G$6&amp;",FY,'BKRACTMED=1,WIN=0,CURRENCY=USD,UNITS=AUTO,DATE=NOW')")</f>
        <v>-</v>
      </c>
      <c r="H29" s="54" t="str" cm="1">
        <f t="array" ref="H29">_xll.FDSRC("-",$A$1,"FE_TIMESERIES("&amp;$D29&amp;",MEAN,"&amp;H$6&amp;","&amp;H$6&amp;",FY,'BKRACTMED=1,WIN=0,CURRENCY=USD,UNITS=AUTO,DATE=NOW')")</f>
        <v>-</v>
      </c>
      <c r="I29" s="54" t="str" cm="1">
        <f t="array" ref="I29">_xll.FDSRC("-",$A$1,"FE_TIMESERIES("&amp;$D29&amp;",MEAN,"&amp;I$6&amp;","&amp;I$6&amp;",FY,'BKRACTMED=1,WIN=0,CURRENCY=USD,UNITS=AUTO,DATE=NOW')")</f>
        <v>-</v>
      </c>
      <c r="J29" s="54" t="str" cm="1">
        <f t="array" ref="J29">_xll.FDSRC("-",$A$1,"FE_TIMESERIES("&amp;$D29&amp;",MEAN,"&amp;J$6&amp;","&amp;J$6&amp;",FY,'BKRACTMED=1,WIN=0,CURRENCY=USD,UNITS=AUTO,DATE=NOW')")</f>
        <v>-</v>
      </c>
      <c r="K29" s="54" t="str" cm="1">
        <f t="array" ref="K29">_xll.FDSRC("-",$A$1,"FE_TIMESERIES("&amp;$D29&amp;",MEAN,"&amp;K$6&amp;","&amp;K$6&amp;",FY,'BKRACTMED=1,WIN=0,CURRENCY=USD,UNITS=AUTO,DATE=NOW')")</f>
        <v>-</v>
      </c>
      <c r="L29" s="54" t="str" cm="1">
        <f t="array" ref="L29">_xll.FDSRC("-",$A$1,"FE_TIMESERIES("&amp;$D29&amp;",MEAN,"&amp;L$6&amp;","&amp;L$6&amp;",FY,'BKRACTMED=1,WIN=0,CURRENCY=USD,UNITS=AUTO,DATE=NOW')")</f>
        <v>-</v>
      </c>
      <c r="M29" s="54" t="str" cm="1">
        <f t="array" ref="M29">_xll.FDSRC("-",$A$1,"FE_TIMESERIES("&amp;$D29&amp;",MEAN,"&amp;M$6&amp;","&amp;M$6&amp;",FY,'BKRACTMED=1,WIN=0,CURRENCY=USD,UNITS=AUTO,DATE=NOW')")</f>
        <v>-</v>
      </c>
      <c r="N29" s="54" t="str" cm="1">
        <f t="array" ref="N29">_xll.FDSRC("-",$A$1,"FE_TIMESERIES("&amp;$D29&amp;",MEAN,"&amp;N$6&amp;","&amp;N$6&amp;",FY,'BKRACTMED=1,WIN=0,CURRENCY=USD,UNITS=AUTO,DATE=NOW')")</f>
        <v>-</v>
      </c>
      <c r="O29" s="54" t="str" cm="1">
        <f t="array" ref="O29">_xll.FDSRC("-",$A$1,"FE_TIMESERIES("&amp;$D29&amp;",MEAN,"&amp;O$6&amp;","&amp;O$6&amp;",FY,'BKRACTMED=1,WIN=0,CURRENCY=USD,UNITS=AUTO,DATE=NOW')")</f>
        <v>-</v>
      </c>
    </row>
    <row r="30" spans="1:15" x14ac:dyDescent="0.15">
      <c r="A30" s="4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</row>
    <row r="31" spans="1:15" x14ac:dyDescent="0.15">
      <c r="A31" s="44" t="s">
        <v>111</v>
      </c>
      <c r="D31" t="s">
        <v>112</v>
      </c>
      <c r="E31" s="54" t="str" cm="1">
        <f t="array" ref="E31">_xll.FDSRC("-",$A$1,"FE_TIMESERIES("&amp;$D31&amp;",MEAN,"&amp;E$6&amp;","&amp;E$6&amp;",FY,'BKRACTMED=1,WIN=0,CURRENCY=USD,UNITS=AUTO,DATE=NOW')")</f>
        <v>-</v>
      </c>
      <c r="F31" s="54" t="str" cm="1">
        <f t="array" ref="F31">_xll.FDSRC("-",$A$1,"FE_TIMESERIES("&amp;$D31&amp;",MEAN,"&amp;F$6&amp;","&amp;F$6&amp;",FY,'BKRACTMED=1,WIN=0,CURRENCY=USD,UNITS=AUTO,DATE=NOW')")</f>
        <v>-</v>
      </c>
      <c r="G31" s="54" t="str" cm="1">
        <f t="array" ref="G31">_xll.FDSRC("-",$A$1,"FE_TIMESERIES("&amp;$D31&amp;",MEAN,"&amp;G$6&amp;","&amp;G$6&amp;",FY,'BKRACTMED=1,WIN=0,CURRENCY=USD,UNITS=AUTO,DATE=NOW')")</f>
        <v>-</v>
      </c>
      <c r="H31" s="54" t="str" cm="1">
        <f t="array" ref="H31">_xll.FDSRC("-",$A$1,"FE_TIMESERIES("&amp;$D31&amp;",MEAN,"&amp;H$6&amp;","&amp;H$6&amp;",FY,'BKRACTMED=1,WIN=0,CURRENCY=USD,UNITS=AUTO,DATE=NOW')")</f>
        <v>-</v>
      </c>
      <c r="I31" s="54" t="str" cm="1">
        <f t="array" ref="I31">_xll.FDSRC("-",$A$1,"FE_TIMESERIES("&amp;$D31&amp;",MEAN,"&amp;I$6&amp;","&amp;I$6&amp;",FY,'BKRACTMED=1,WIN=0,CURRENCY=USD,UNITS=AUTO,DATE=NOW')")</f>
        <v>-</v>
      </c>
      <c r="J31" s="54" t="str" cm="1">
        <f t="array" ref="J31">_xll.FDSRC("-",$A$1,"FE_TIMESERIES("&amp;$D31&amp;",MEAN,"&amp;J$6&amp;","&amp;J$6&amp;",FY,'BKRACTMED=1,WIN=0,CURRENCY=USD,UNITS=AUTO,DATE=NOW')")</f>
        <v>-</v>
      </c>
      <c r="K31" s="54" t="str" cm="1">
        <f t="array" ref="K31">_xll.FDSRC("-",$A$1,"FE_TIMESERIES("&amp;$D31&amp;",MEAN,"&amp;K$6&amp;","&amp;K$6&amp;",FY,'BKRACTMED=1,WIN=0,CURRENCY=USD,UNITS=AUTO,DATE=NOW')")</f>
        <v>-</v>
      </c>
      <c r="L31" s="54" t="str" cm="1">
        <f t="array" ref="L31">_xll.FDSRC("-",$A$1,"FE_TIMESERIES("&amp;$D31&amp;",MEAN,"&amp;L$6&amp;","&amp;L$6&amp;",FY,'BKRACTMED=1,WIN=0,CURRENCY=USD,UNITS=AUTO,DATE=NOW')")</f>
        <v>-</v>
      </c>
      <c r="M31" s="54" t="str" cm="1">
        <f t="array" ref="M31">_xll.FDSRC("-",$A$1,"FE_TIMESERIES("&amp;$D31&amp;",MEAN,"&amp;M$6&amp;","&amp;M$6&amp;",FY,'BKRACTMED=1,WIN=0,CURRENCY=USD,UNITS=AUTO,DATE=NOW')")</f>
        <v>-</v>
      </c>
      <c r="N31" s="54" t="str" cm="1">
        <f t="array" ref="N31">_xll.FDSRC("-",$A$1,"FE_TIMESERIES("&amp;$D31&amp;",MEAN,"&amp;N$6&amp;","&amp;N$6&amp;",FY,'BKRACTMED=1,WIN=0,CURRENCY=USD,UNITS=AUTO,DATE=NOW')")</f>
        <v>-</v>
      </c>
      <c r="O31" s="54" t="str" cm="1">
        <f t="array" ref="O31">_xll.FDSRC("-",$A$1,"FE_TIMESERIES("&amp;$D31&amp;",MEAN,"&amp;O$6&amp;","&amp;O$6&amp;",FY,'BKRACTMED=1,WIN=0,CURRENCY=USD,UNITS=AUTO,DATE=NOW')")</f>
        <v>-</v>
      </c>
    </row>
    <row r="32" spans="1:15" x14ac:dyDescent="0.15">
      <c r="A32" s="44" t="s">
        <v>113</v>
      </c>
      <c r="D32" t="s">
        <v>246</v>
      </c>
      <c r="E32" s="54" t="str" cm="1">
        <f t="array" ref="E32">_xll.FDSRC("-",$A$1,"FE_TIMESERIES("&amp;$D32&amp;",MEAN,"&amp;E$6&amp;","&amp;E$6&amp;",FY,'BKRACTMED=1,WIN=0,CURRENCY=USD,UNITS=AUTO,DATE=NOW')")</f>
        <v>-</v>
      </c>
      <c r="F32" s="54" t="str" cm="1">
        <f t="array" ref="F32">_xll.FDSRC("-",$A$1,"FE_TIMESERIES("&amp;$D32&amp;",MEAN,"&amp;F$6&amp;","&amp;F$6&amp;",FY,'BKRACTMED=1,WIN=0,CURRENCY=USD,UNITS=AUTO,DATE=NOW')")</f>
        <v>-</v>
      </c>
      <c r="G32" s="54" t="str" cm="1">
        <f t="array" ref="G32">_xll.FDSRC("-",$A$1,"FE_TIMESERIES("&amp;$D32&amp;",MEAN,"&amp;G$6&amp;","&amp;G$6&amp;",FY,'BKRACTMED=1,WIN=0,CURRENCY=USD,UNITS=AUTO,DATE=NOW')")</f>
        <v>-</v>
      </c>
      <c r="H32" s="54" t="str" cm="1">
        <f t="array" ref="H32">_xll.FDSRC("-",$A$1,"FE_TIMESERIES("&amp;$D32&amp;",MEAN,"&amp;H$6&amp;","&amp;H$6&amp;",FY,'BKRACTMED=1,WIN=0,CURRENCY=USD,UNITS=AUTO,DATE=NOW')")</f>
        <v>-</v>
      </c>
      <c r="I32" s="54" t="str" cm="1">
        <f t="array" ref="I32">_xll.FDSRC("-",$A$1,"FE_TIMESERIES("&amp;$D32&amp;",MEAN,"&amp;I$6&amp;","&amp;I$6&amp;",FY,'BKRACTMED=1,WIN=0,CURRENCY=USD,UNITS=AUTO,DATE=NOW')")</f>
        <v>-</v>
      </c>
      <c r="J32" s="54" t="str" cm="1">
        <f t="array" ref="J32">_xll.FDSRC("-",$A$1,"FE_TIMESERIES("&amp;$D32&amp;",MEAN,"&amp;J$6&amp;","&amp;J$6&amp;",FY,'BKRACTMED=1,WIN=0,CURRENCY=USD,UNITS=AUTO,DATE=NOW')")</f>
        <v>-</v>
      </c>
      <c r="K32" s="54" t="str" cm="1">
        <f t="array" ref="K32">_xll.FDSRC("-",$A$1,"FE_TIMESERIES("&amp;$D32&amp;",MEAN,"&amp;K$6&amp;","&amp;K$6&amp;",FY,'BKRACTMED=1,WIN=0,CURRENCY=USD,UNITS=AUTO,DATE=NOW')")</f>
        <v>-</v>
      </c>
      <c r="L32" s="54" t="str" cm="1">
        <f t="array" ref="L32">_xll.FDSRC("-",$A$1,"FE_TIMESERIES("&amp;$D32&amp;",MEAN,"&amp;L$6&amp;","&amp;L$6&amp;",FY,'BKRACTMED=1,WIN=0,CURRENCY=USD,UNITS=AUTO,DATE=NOW')")</f>
        <v>-</v>
      </c>
      <c r="M32" s="54" t="str" cm="1">
        <f t="array" ref="M32">_xll.FDSRC("-",$A$1,"FE_TIMESERIES("&amp;$D32&amp;",MEAN,"&amp;M$6&amp;","&amp;M$6&amp;",FY,'BKRACTMED=1,WIN=0,CURRENCY=USD,UNITS=AUTO,DATE=NOW')")</f>
        <v>-</v>
      </c>
      <c r="N32" s="54" t="str" cm="1">
        <f t="array" ref="N32">_xll.FDSRC("-",$A$1,"FE_TIMESERIES("&amp;$D32&amp;",MEAN,"&amp;N$6&amp;","&amp;N$6&amp;",FY,'BKRACTMED=1,WIN=0,CURRENCY=USD,UNITS=AUTO,DATE=NOW')")</f>
        <v>-</v>
      </c>
      <c r="O32" s="54" t="str" cm="1">
        <f t="array" ref="O32">_xll.FDSRC("-",$A$1,"FE_TIMESERIES("&amp;$D32&amp;",MEAN,"&amp;O$6&amp;","&amp;O$6&amp;",FY,'BKRACTMED=1,WIN=0,CURRENCY=USD,UNITS=AUTO,DATE=NOW')")</f>
        <v>-</v>
      </c>
    </row>
    <row r="33" spans="1:15" x14ac:dyDescent="0.15">
      <c r="A33" s="44" t="s">
        <v>114</v>
      </c>
      <c r="E33" s="54" t="s">
        <v>240</v>
      </c>
      <c r="F33" s="54" t="s">
        <v>240</v>
      </c>
      <c r="G33" s="54" t="s">
        <v>240</v>
      </c>
      <c r="H33" s="54" t="s">
        <v>240</v>
      </c>
      <c r="I33" s="54" t="s">
        <v>240</v>
      </c>
      <c r="J33" s="54" t="s">
        <v>240</v>
      </c>
      <c r="K33" s="54" t="s">
        <v>240</v>
      </c>
      <c r="L33" s="54" t="s">
        <v>240</v>
      </c>
      <c r="M33" s="54" t="s">
        <v>240</v>
      </c>
      <c r="N33" s="54" t="s">
        <v>240</v>
      </c>
      <c r="O33" s="54" t="s">
        <v>240</v>
      </c>
    </row>
    <row r="34" spans="1:15" x14ac:dyDescent="0.15">
      <c r="A34" s="44" t="s">
        <v>115</v>
      </c>
      <c r="E34" s="54" t="s">
        <v>240</v>
      </c>
      <c r="F34" s="54" t="s">
        <v>240</v>
      </c>
      <c r="G34" s="54" t="s">
        <v>240</v>
      </c>
      <c r="H34" s="54" t="s">
        <v>240</v>
      </c>
      <c r="I34" s="54" t="s">
        <v>240</v>
      </c>
      <c r="J34" s="54" t="s">
        <v>240</v>
      </c>
      <c r="K34" s="54" t="s">
        <v>240</v>
      </c>
      <c r="L34" s="54" t="s">
        <v>240</v>
      </c>
      <c r="M34" s="54" t="s">
        <v>240</v>
      </c>
      <c r="N34" s="54" t="s">
        <v>240</v>
      </c>
      <c r="O34" s="54" t="s">
        <v>240</v>
      </c>
    </row>
    <row r="35" spans="1:15" x14ac:dyDescent="0.15">
      <c r="A35" s="45" t="s">
        <v>116</v>
      </c>
      <c r="D35" t="s">
        <v>247</v>
      </c>
      <c r="E35" s="58" t="str" cm="1">
        <f t="array" ref="E35">_xll.FDSRC("-",$A$1,"FE_TIMESERIES("&amp;$D35&amp;",MEAN,"&amp;E$6&amp;","&amp;E$6&amp;",FY,'BKRACTMED=1,WIN=0,CURRENCY=USD,UNITS=AUTO,DATE=NOW')")</f>
        <v>-</v>
      </c>
      <c r="F35" s="58" t="str">
        <f>E35</f>
        <v>-</v>
      </c>
      <c r="G35" s="58" t="str">
        <f t="shared" ref="G35:O35" si="0">F35</f>
        <v>-</v>
      </c>
      <c r="H35" s="58" t="str">
        <f t="shared" si="0"/>
        <v>-</v>
      </c>
      <c r="I35" s="58" t="str">
        <f t="shared" si="0"/>
        <v>-</v>
      </c>
      <c r="J35" s="58" t="str">
        <f t="shared" si="0"/>
        <v>-</v>
      </c>
      <c r="K35" s="58" t="str">
        <f t="shared" si="0"/>
        <v>-</v>
      </c>
      <c r="L35" s="58" t="str">
        <f t="shared" si="0"/>
        <v>-</v>
      </c>
      <c r="M35" s="58" t="str">
        <f t="shared" si="0"/>
        <v>-</v>
      </c>
      <c r="N35" s="58" t="str">
        <f t="shared" si="0"/>
        <v>-</v>
      </c>
      <c r="O35" s="58" t="str">
        <f t="shared" si="0"/>
        <v>-</v>
      </c>
    </row>
    <row r="36" spans="1:15" x14ac:dyDescent="0.15">
      <c r="A36" s="2"/>
    </row>
    <row r="37" spans="1:15" x14ac:dyDescent="0.15">
      <c r="A37" s="44" t="s">
        <v>117</v>
      </c>
      <c r="D37" t="s">
        <v>248</v>
      </c>
      <c r="E37" s="54" t="str" cm="1">
        <f t="array" ref="E37">_xll.FDSRC("-",$A$1,"FE_TIMESERIES("&amp;$D37&amp;",MEAN,"&amp;E$6&amp;","&amp;E$6&amp;",FY,'BKRACTMED=1,WIN=0,CURRENCY=USD,UNITS=AUTO,DATE=NOW')")</f>
        <v>-</v>
      </c>
      <c r="F37" s="54" t="str" cm="1">
        <f t="array" ref="F37">_xll.FDSRC("-",$A$1,"FE_TIMESERIES("&amp;$D37&amp;",MEAN,"&amp;F$6&amp;","&amp;F$6&amp;",FY,'BKRACTMED=1,WIN=0,CURRENCY=USD,UNITS=AUTO,DATE=NOW')")</f>
        <v>-</v>
      </c>
      <c r="G37" s="54" t="str" cm="1">
        <f t="array" ref="G37">_xll.FDSRC("-",$A$1,"FE_TIMESERIES("&amp;$D37&amp;",MEAN,"&amp;G$6&amp;","&amp;G$6&amp;",FY,'BKRACTMED=1,WIN=0,CURRENCY=USD,UNITS=AUTO,DATE=NOW')")</f>
        <v>-</v>
      </c>
      <c r="H37" s="54" t="str" cm="1">
        <f t="array" ref="H37">_xll.FDSRC("-",$A$1,"FE_TIMESERIES("&amp;$D37&amp;",MEAN,"&amp;H$6&amp;","&amp;H$6&amp;",FY,'BKRACTMED=1,WIN=0,CURRENCY=USD,UNITS=AUTO,DATE=NOW')")</f>
        <v>-</v>
      </c>
      <c r="I37" s="54" t="str" cm="1">
        <f t="array" ref="I37">_xll.FDSRC("-",$A$1,"FE_TIMESERIES("&amp;$D37&amp;",MEAN,"&amp;I$6&amp;","&amp;I$6&amp;",FY,'BKRACTMED=1,WIN=0,CURRENCY=USD,UNITS=AUTO,DATE=NOW')")</f>
        <v>-</v>
      </c>
      <c r="J37" s="54" t="str" cm="1">
        <f t="array" ref="J37">_xll.FDSRC("-",$A$1,"FE_TIMESERIES("&amp;$D37&amp;",MEAN,"&amp;J$6&amp;","&amp;J$6&amp;",FY,'BKRACTMED=1,WIN=0,CURRENCY=USD,UNITS=AUTO,DATE=NOW')")</f>
        <v>-</v>
      </c>
      <c r="K37" s="54" t="str" cm="1">
        <f t="array" ref="K37">_xll.FDSRC("-",$A$1,"FE_TIMESERIES("&amp;$D37&amp;",MEAN,"&amp;K$6&amp;","&amp;K$6&amp;",FY,'BKRACTMED=1,WIN=0,CURRENCY=USD,UNITS=AUTO,DATE=NOW')")</f>
        <v>-</v>
      </c>
      <c r="L37" s="54" t="str" cm="1">
        <f t="array" ref="L37">_xll.FDSRC("-",$A$1,"FE_TIMESERIES("&amp;$D37&amp;",MEAN,"&amp;L$6&amp;","&amp;L$6&amp;",FY,'BKRACTMED=1,WIN=0,CURRENCY=USD,UNITS=AUTO,DATE=NOW')")</f>
        <v>-</v>
      </c>
      <c r="M37" s="54" t="str" cm="1">
        <f t="array" ref="M37">_xll.FDSRC("-",$A$1,"FE_TIMESERIES("&amp;$D37&amp;",MEAN,"&amp;M$6&amp;","&amp;M$6&amp;",FY,'BKRACTMED=1,WIN=0,CURRENCY=USD,UNITS=AUTO,DATE=NOW')")</f>
        <v>-</v>
      </c>
      <c r="N37" s="54" t="str" cm="1">
        <f t="array" ref="N37">_xll.FDSRC("-",$A$1,"FE_TIMESERIES("&amp;$D37&amp;",MEAN,"&amp;N$6&amp;","&amp;N$6&amp;",FY,'BKRACTMED=1,WIN=0,CURRENCY=USD,UNITS=AUTO,DATE=NOW')")</f>
        <v>-</v>
      </c>
      <c r="O37" s="54" t="str" cm="1">
        <f t="array" ref="O37">_xll.FDSRC("-",$A$1,"FE_TIMESERIES("&amp;$D37&amp;",MEAN,"&amp;O$6&amp;","&amp;O$6&amp;",FY,'BKRACTMED=1,WIN=0,CURRENCY=USD,UNITS=AUTO,DATE=NOW')")</f>
        <v>-</v>
      </c>
    </row>
    <row r="38" spans="1:15" x14ac:dyDescent="0.15">
      <c r="A38" s="44" t="s">
        <v>118</v>
      </c>
      <c r="D38" t="s">
        <v>249</v>
      </c>
      <c r="E38" s="54" t="str" cm="1">
        <f t="array" ref="E38">_xll.FDSRC("-",$A$1,"FE_TIMESERIES("&amp;$D38&amp;",MEAN,"&amp;E$6&amp;","&amp;E$6&amp;",FY,'BKRACTMED=1,WIN=0,CURRENCY=USD,UNITS=AUTO,DATE=NOW')")</f>
        <v>-</v>
      </c>
      <c r="F38" s="54" t="str" cm="1">
        <f t="array" ref="F38">_xll.FDSRC("-",$A$1,"FE_TIMESERIES("&amp;$D38&amp;",MEAN,"&amp;F$6&amp;","&amp;F$6&amp;",FY,'BKRACTMED=1,WIN=0,CURRENCY=USD,UNITS=AUTO,DATE=NOW')")</f>
        <v>-</v>
      </c>
      <c r="G38" s="54" t="str" cm="1">
        <f t="array" ref="G38">_xll.FDSRC("-",$A$1,"FE_TIMESERIES("&amp;$D38&amp;",MEAN,"&amp;G$6&amp;","&amp;G$6&amp;",FY,'BKRACTMED=1,WIN=0,CURRENCY=USD,UNITS=AUTO,DATE=NOW')")</f>
        <v>-</v>
      </c>
      <c r="H38" s="54" t="str" cm="1">
        <f t="array" ref="H38">_xll.FDSRC("-",$A$1,"FE_TIMESERIES("&amp;$D38&amp;",MEAN,"&amp;H$6&amp;","&amp;H$6&amp;",FY,'BKRACTMED=1,WIN=0,CURRENCY=USD,UNITS=AUTO,DATE=NOW')")</f>
        <v>-</v>
      </c>
      <c r="I38" s="54" t="str" cm="1">
        <f t="array" ref="I38">_xll.FDSRC("-",$A$1,"FE_TIMESERIES("&amp;$D38&amp;",MEAN,"&amp;I$6&amp;","&amp;I$6&amp;",FY,'BKRACTMED=1,WIN=0,CURRENCY=USD,UNITS=AUTO,DATE=NOW')")</f>
        <v>-</v>
      </c>
      <c r="J38" s="54" t="str" cm="1">
        <f t="array" ref="J38">_xll.FDSRC("-",$A$1,"FE_TIMESERIES("&amp;$D38&amp;",MEAN,"&amp;J$6&amp;","&amp;J$6&amp;",FY,'BKRACTMED=1,WIN=0,CURRENCY=USD,UNITS=AUTO,DATE=NOW')")</f>
        <v>-</v>
      </c>
      <c r="K38" s="54" t="str" cm="1">
        <f t="array" ref="K38">_xll.FDSRC("-",$A$1,"FE_TIMESERIES("&amp;$D38&amp;",MEAN,"&amp;K$6&amp;","&amp;K$6&amp;",FY,'BKRACTMED=1,WIN=0,CURRENCY=USD,UNITS=AUTO,DATE=NOW')")</f>
        <v>-</v>
      </c>
      <c r="L38" s="54" t="str" cm="1">
        <f t="array" ref="L38">_xll.FDSRC("-",$A$1,"FE_TIMESERIES("&amp;$D38&amp;",MEAN,"&amp;L$6&amp;","&amp;L$6&amp;",FY,'BKRACTMED=1,WIN=0,CURRENCY=USD,UNITS=AUTO,DATE=NOW')")</f>
        <v>-</v>
      </c>
      <c r="M38" s="54" t="str" cm="1">
        <f t="array" ref="M38">_xll.FDSRC("-",$A$1,"FE_TIMESERIES("&amp;$D38&amp;",MEAN,"&amp;M$6&amp;","&amp;M$6&amp;",FY,'BKRACTMED=1,WIN=0,CURRENCY=USD,UNITS=AUTO,DATE=NOW')")</f>
        <v>-</v>
      </c>
      <c r="N38" s="54" t="str" cm="1">
        <f t="array" ref="N38">_xll.FDSRC("-",$A$1,"FE_TIMESERIES("&amp;$D38&amp;",MEAN,"&amp;N$6&amp;","&amp;N$6&amp;",FY,'BKRACTMED=1,WIN=0,CURRENCY=USD,UNITS=AUTO,DATE=NOW')")</f>
        <v>-</v>
      </c>
      <c r="O38" s="54" t="str" cm="1">
        <f t="array" ref="O38">_xll.FDSRC("-",$A$1,"FE_TIMESERIES("&amp;$D38&amp;",MEAN,"&amp;O$6&amp;","&amp;O$6&amp;",FY,'BKRACTMED=1,WIN=0,CURRENCY=USD,UNITS=AUTO,DATE=NOW')")</f>
        <v>-</v>
      </c>
    </row>
    <row r="39" spans="1:15" x14ac:dyDescent="0.15">
      <c r="A39" s="44" t="s">
        <v>119</v>
      </c>
      <c r="D39" t="s">
        <v>250</v>
      </c>
      <c r="E39" s="54" t="str" cm="1">
        <f t="array" ref="E39">_xll.FDSRC("-",$A$1,"FE_TIMESERIES("&amp;$D39&amp;",MEAN,"&amp;E$6&amp;","&amp;E$6&amp;",FY,'BKRACTMED=1,WIN=0,CURRENCY=USD,UNITS=AUTO,DATE=NOW')")</f>
        <v>-</v>
      </c>
      <c r="F39" s="54" t="str" cm="1">
        <f t="array" ref="F39">_xll.FDSRC("-",$A$1,"FE_TIMESERIES("&amp;$D39&amp;",MEAN,"&amp;F$6&amp;","&amp;F$6&amp;",FY,'BKRACTMED=1,WIN=0,CURRENCY=USD,UNITS=AUTO,DATE=NOW')")</f>
        <v>-</v>
      </c>
      <c r="G39" s="54" t="str" cm="1">
        <f t="array" ref="G39">_xll.FDSRC("-",$A$1,"FE_TIMESERIES("&amp;$D39&amp;",MEAN,"&amp;G$6&amp;","&amp;G$6&amp;",FY,'BKRACTMED=1,WIN=0,CURRENCY=USD,UNITS=AUTO,DATE=NOW')")</f>
        <v>-</v>
      </c>
      <c r="H39" s="54" t="str" cm="1">
        <f t="array" ref="H39">_xll.FDSRC("-",$A$1,"FE_TIMESERIES("&amp;$D39&amp;",MEAN,"&amp;H$6&amp;","&amp;H$6&amp;",FY,'BKRACTMED=1,WIN=0,CURRENCY=USD,UNITS=AUTO,DATE=NOW')")</f>
        <v>-</v>
      </c>
      <c r="I39" s="54" t="str" cm="1">
        <f t="array" ref="I39">_xll.FDSRC("-",$A$1,"FE_TIMESERIES("&amp;$D39&amp;",MEAN,"&amp;I$6&amp;","&amp;I$6&amp;",FY,'BKRACTMED=1,WIN=0,CURRENCY=USD,UNITS=AUTO,DATE=NOW')")</f>
        <v>-</v>
      </c>
      <c r="J39" s="54" t="str" cm="1">
        <f t="array" ref="J39">_xll.FDSRC("-",$A$1,"FE_TIMESERIES("&amp;$D39&amp;",MEAN,"&amp;J$6&amp;","&amp;J$6&amp;",FY,'BKRACTMED=1,WIN=0,CURRENCY=USD,UNITS=AUTO,DATE=NOW')")</f>
        <v>-</v>
      </c>
      <c r="K39" s="54" t="str" cm="1">
        <f t="array" ref="K39">_xll.FDSRC("-",$A$1,"FE_TIMESERIES("&amp;$D39&amp;",MEAN,"&amp;K$6&amp;","&amp;K$6&amp;",FY,'BKRACTMED=1,WIN=0,CURRENCY=USD,UNITS=AUTO,DATE=NOW')")</f>
        <v>-</v>
      </c>
      <c r="L39" s="54" t="str" cm="1">
        <f t="array" ref="L39">_xll.FDSRC("-",$A$1,"FE_TIMESERIES("&amp;$D39&amp;",MEAN,"&amp;L$6&amp;","&amp;L$6&amp;",FY,'BKRACTMED=1,WIN=0,CURRENCY=USD,UNITS=AUTO,DATE=NOW')")</f>
        <v>-</v>
      </c>
      <c r="M39" s="54" t="str" cm="1">
        <f t="array" ref="M39">_xll.FDSRC("-",$A$1,"FE_TIMESERIES("&amp;$D39&amp;",MEAN,"&amp;M$6&amp;","&amp;M$6&amp;",FY,'BKRACTMED=1,WIN=0,CURRENCY=USD,UNITS=AUTO,DATE=NOW')")</f>
        <v>-</v>
      </c>
      <c r="N39" s="54" t="str" cm="1">
        <f t="array" ref="N39">_xll.FDSRC("-",$A$1,"FE_TIMESERIES("&amp;$D39&amp;",MEAN,"&amp;N$6&amp;","&amp;N$6&amp;",FY,'BKRACTMED=1,WIN=0,CURRENCY=USD,UNITS=AUTO,DATE=NOW')")</f>
        <v>-</v>
      </c>
      <c r="O39" s="54" t="str" cm="1">
        <f t="array" ref="O39">_xll.FDSRC("-",$A$1,"FE_TIMESERIES("&amp;$D39&amp;",MEAN,"&amp;O$6&amp;","&amp;O$6&amp;",FY,'BKRACTMED=1,WIN=0,CURRENCY=USD,UNITS=AUTO,DATE=NOW')")</f>
        <v>-</v>
      </c>
    </row>
    <row r="40" spans="1:15" x14ac:dyDescent="0.15">
      <c r="A40" s="44" t="s">
        <v>120</v>
      </c>
      <c r="D40" t="s">
        <v>251</v>
      </c>
      <c r="E40" s="54" t="str" cm="1">
        <f t="array" ref="E40">_xll.FDSRC("-",$A$1,"FE_TIMESERIES("&amp;$D40&amp;",MEAN,"&amp;E$6&amp;","&amp;E$6&amp;",FY,'BKRACTMED=1,WIN=0,CURRENCY=USD,UNITS=AUTO,DATE=NOW')")</f>
        <v>-</v>
      </c>
      <c r="F40" s="54" t="str" cm="1">
        <f t="array" ref="F40">_xll.FDSRC("-",$A$1,"FE_TIMESERIES("&amp;$D40&amp;",MEAN,"&amp;F$6&amp;","&amp;F$6&amp;",FY,'BKRACTMED=1,WIN=0,CURRENCY=USD,UNITS=AUTO,DATE=NOW')")</f>
        <v>-</v>
      </c>
      <c r="G40" s="54" t="str" cm="1">
        <f t="array" ref="G40">_xll.FDSRC("-",$A$1,"FE_TIMESERIES("&amp;$D40&amp;",MEAN,"&amp;G$6&amp;","&amp;G$6&amp;",FY,'BKRACTMED=1,WIN=0,CURRENCY=USD,UNITS=AUTO,DATE=NOW')")</f>
        <v>-</v>
      </c>
      <c r="H40" s="54" t="str" cm="1">
        <f t="array" ref="H40">_xll.FDSRC("-",$A$1,"FE_TIMESERIES("&amp;$D40&amp;",MEAN,"&amp;H$6&amp;","&amp;H$6&amp;",FY,'BKRACTMED=1,WIN=0,CURRENCY=USD,UNITS=AUTO,DATE=NOW')")</f>
        <v>-</v>
      </c>
      <c r="I40" s="54" t="str" cm="1">
        <f t="array" ref="I40">_xll.FDSRC("-",$A$1,"FE_TIMESERIES("&amp;$D40&amp;",MEAN,"&amp;I$6&amp;","&amp;I$6&amp;",FY,'BKRACTMED=1,WIN=0,CURRENCY=USD,UNITS=AUTO,DATE=NOW')")</f>
        <v>-</v>
      </c>
      <c r="J40" s="54" t="str" cm="1">
        <f t="array" ref="J40">_xll.FDSRC("-",$A$1,"FE_TIMESERIES("&amp;$D40&amp;",MEAN,"&amp;J$6&amp;","&amp;J$6&amp;",FY,'BKRACTMED=1,WIN=0,CURRENCY=USD,UNITS=AUTO,DATE=NOW')")</f>
        <v>-</v>
      </c>
      <c r="K40" s="54" t="str" cm="1">
        <f t="array" ref="K40">_xll.FDSRC("-",$A$1,"FE_TIMESERIES("&amp;$D40&amp;",MEAN,"&amp;K$6&amp;","&amp;K$6&amp;",FY,'BKRACTMED=1,WIN=0,CURRENCY=USD,UNITS=AUTO,DATE=NOW')")</f>
        <v>-</v>
      </c>
      <c r="L40" s="54" t="str" cm="1">
        <f t="array" ref="L40">_xll.FDSRC("-",$A$1,"FE_TIMESERIES("&amp;$D40&amp;",MEAN,"&amp;L$6&amp;","&amp;L$6&amp;",FY,'BKRACTMED=1,WIN=0,CURRENCY=USD,UNITS=AUTO,DATE=NOW')")</f>
        <v>-</v>
      </c>
      <c r="M40" s="54" t="str" cm="1">
        <f t="array" ref="M40">_xll.FDSRC("-",$A$1,"FE_TIMESERIES("&amp;$D40&amp;",MEAN,"&amp;M$6&amp;","&amp;M$6&amp;",FY,'BKRACTMED=1,WIN=0,CURRENCY=USD,UNITS=AUTO,DATE=NOW')")</f>
        <v>-</v>
      </c>
      <c r="N40" s="54" t="str" cm="1">
        <f t="array" ref="N40">_xll.FDSRC("-",$A$1,"FE_TIMESERIES("&amp;$D40&amp;",MEAN,"&amp;N$6&amp;","&amp;N$6&amp;",FY,'BKRACTMED=1,WIN=0,CURRENCY=USD,UNITS=AUTO,DATE=NOW')")</f>
        <v>-</v>
      </c>
      <c r="O40" s="54" t="str" cm="1">
        <f t="array" ref="O40">_xll.FDSRC("-",$A$1,"FE_TIMESERIES("&amp;$D40&amp;",MEAN,"&amp;O$6&amp;","&amp;O$6&amp;",FY,'BKRACTMED=1,WIN=0,CURRENCY=USD,UNITS=AUTO,DATE=NOW')")</f>
        <v>-</v>
      </c>
    </row>
    <row r="41" spans="1:15" x14ac:dyDescent="0.15">
      <c r="A41" s="2" t="s">
        <v>121</v>
      </c>
      <c r="D41" t="s">
        <v>252</v>
      </c>
      <c r="E41" s="54" cm="1">
        <f t="array" ref="E41">_xll.FDSRC("-",$A$1,"FE_TIMESERIES("&amp;$D41&amp;",MEAN,"&amp;E$6&amp;","&amp;E$6&amp;",FY,'BKRACTMED=1,WIN=0,CURRENCY=USD,UNITS=AUTO,DATE=NOW')")</f>
        <v>2882.5</v>
      </c>
      <c r="F41" s="54" cm="1">
        <f t="array" ref="F41">_xll.FDSRC("-",$A$1,"FE_TIMESERIES("&amp;$D41&amp;",MEAN,"&amp;F$6&amp;","&amp;F$6&amp;",FY,'BKRACTMED=1,WIN=0,CURRENCY=USD,UNITS=AUTO,DATE=NOW')")</f>
        <v>2430.25</v>
      </c>
      <c r="G41" s="54" cm="1">
        <f t="array" ref="G41">_xll.FDSRC("-",$A$1,"FE_TIMESERIES("&amp;$D41&amp;",MEAN,"&amp;G$6&amp;","&amp;G$6&amp;",FY,'BKRACTMED=1,WIN=0,CURRENCY=USD,UNITS=AUTO,DATE=NOW')")</f>
        <v>2505.4499999999998</v>
      </c>
      <c r="H41" s="54" cm="1">
        <f t="array" ref="H41">_xll.FDSRC("-",$A$1,"FE_TIMESERIES("&amp;$D41&amp;",MEAN,"&amp;H$6&amp;","&amp;H$6&amp;",FY,'BKRACTMED=1,WIN=0,CURRENCY=USD,UNITS=AUTO,DATE=NOW')")</f>
        <v>2827.5</v>
      </c>
      <c r="I41" s="54" cm="1">
        <f t="array" ref="I41">_xll.FDSRC("-",$A$1,"FE_TIMESERIES("&amp;$D41&amp;",MEAN,"&amp;I$6&amp;","&amp;I$6&amp;",FY,'BKRACTMED=1,WIN=0,CURRENCY=USD,UNITS=AUTO,DATE=NOW')")</f>
        <v>2999</v>
      </c>
      <c r="J41" s="54" t="str" cm="1">
        <f t="array" ref="J41">_xll.FDSRC("-",$A$1,"FE_TIMESERIES("&amp;$D41&amp;",MEAN,"&amp;J$6&amp;","&amp;J$6&amp;",FY,'BKRACTMED=1,WIN=0,CURRENCY=USD,UNITS=AUTO,DATE=NOW')")</f>
        <v>-</v>
      </c>
      <c r="K41" s="54" t="str" cm="1">
        <f t="array" ref="K41">_xll.FDSRC("-",$A$1,"FE_TIMESERIES("&amp;$D41&amp;",MEAN,"&amp;K$6&amp;","&amp;K$6&amp;",FY,'BKRACTMED=1,WIN=0,CURRENCY=USD,UNITS=AUTO,DATE=NOW')")</f>
        <v>-</v>
      </c>
      <c r="L41" s="54" t="str" cm="1">
        <f t="array" ref="L41">_xll.FDSRC("-",$A$1,"FE_TIMESERIES("&amp;$D41&amp;",MEAN,"&amp;L$6&amp;","&amp;L$6&amp;",FY,'BKRACTMED=1,WIN=0,CURRENCY=USD,UNITS=AUTO,DATE=NOW')")</f>
        <v>-</v>
      </c>
      <c r="M41" s="54" t="str" cm="1">
        <f t="array" ref="M41">_xll.FDSRC("-",$A$1,"FE_TIMESERIES("&amp;$D41&amp;",MEAN,"&amp;M$6&amp;","&amp;M$6&amp;",FY,'BKRACTMED=1,WIN=0,CURRENCY=USD,UNITS=AUTO,DATE=NOW')")</f>
        <v>-</v>
      </c>
      <c r="N41" s="54" t="str" cm="1">
        <f t="array" ref="N41">_xll.FDSRC("-",$A$1,"FE_TIMESERIES("&amp;$D41&amp;",MEAN,"&amp;N$6&amp;","&amp;N$6&amp;",FY,'BKRACTMED=1,WIN=0,CURRENCY=USD,UNITS=AUTO,DATE=NOW')")</f>
        <v>-</v>
      </c>
      <c r="O41" s="54" t="str" cm="1">
        <f t="array" ref="O41">_xll.FDSRC("-",$A$1,"FE_TIMESERIES("&amp;$D41&amp;",MEAN,"&amp;O$6&amp;","&amp;O$6&amp;",FY,'BKRACTMED=1,WIN=0,CURRENCY=USD,UNITS=AUTO,DATE=NOW')")</f>
        <v>-</v>
      </c>
    </row>
    <row r="42" spans="1:15" x14ac:dyDescent="0.15">
      <c r="A42" s="45" t="s">
        <v>123</v>
      </c>
      <c r="E42" s="54" t="s">
        <v>240</v>
      </c>
      <c r="F42" s="54" t="s">
        <v>240</v>
      </c>
      <c r="G42" s="54" t="s">
        <v>240</v>
      </c>
      <c r="H42" s="54" t="s">
        <v>240</v>
      </c>
      <c r="I42" s="54" t="s">
        <v>240</v>
      </c>
      <c r="J42" s="54" t="s">
        <v>240</v>
      </c>
      <c r="K42" s="54" t="s">
        <v>240</v>
      </c>
      <c r="L42" s="54" t="s">
        <v>240</v>
      </c>
      <c r="M42" s="54" t="s">
        <v>240</v>
      </c>
      <c r="N42" s="54" t="s">
        <v>240</v>
      </c>
      <c r="O42" s="54" t="s">
        <v>240</v>
      </c>
    </row>
    <row r="43" spans="1:15" x14ac:dyDescent="0.15">
      <c r="A43" s="44"/>
    </row>
    <row r="44" spans="1:15" x14ac:dyDescent="0.15">
      <c r="A44" s="44" t="s">
        <v>124</v>
      </c>
      <c r="E44" s="54" t="s">
        <v>240</v>
      </c>
      <c r="F44" s="54" t="s">
        <v>240</v>
      </c>
      <c r="G44" s="54" t="s">
        <v>240</v>
      </c>
      <c r="H44" s="54" t="s">
        <v>240</v>
      </c>
      <c r="I44" s="54" t="s">
        <v>240</v>
      </c>
      <c r="J44" s="54" t="s">
        <v>240</v>
      </c>
      <c r="K44" s="54" t="s">
        <v>240</v>
      </c>
      <c r="L44" s="54" t="s">
        <v>240</v>
      </c>
      <c r="M44" s="54" t="s">
        <v>240</v>
      </c>
      <c r="N44" s="54" t="s">
        <v>240</v>
      </c>
      <c r="O44" s="54" t="s">
        <v>240</v>
      </c>
    </row>
    <row r="45" spans="1:15" x14ac:dyDescent="0.15">
      <c r="A45" s="44" t="s">
        <v>125</v>
      </c>
      <c r="D45" t="s">
        <v>253</v>
      </c>
      <c r="E45" s="54" cm="1">
        <f t="array" ref="E45">_xll.FDSRC("-",$A$1,"FE_TIMESERIES("&amp;$D45&amp;",MEAN,"&amp;E$6&amp;","&amp;E$6&amp;",FY,'BKRACTMED=1,WIN=0,CURRENCY=USD,UNITS=AUTO,DATE=NOW')")</f>
        <v>8612.6</v>
      </c>
      <c r="F45" s="54" cm="1">
        <f t="array" ref="F45">_xll.FDSRC("-",$A$1,"FE_TIMESERIES("&amp;$D45&amp;",MEAN,"&amp;F$6&amp;","&amp;F$6&amp;",FY,'BKRACTMED=1,WIN=0,CURRENCY=USD,UNITS=AUTO,DATE=NOW')")</f>
        <v>8659.1</v>
      </c>
      <c r="G45" s="54" cm="1">
        <f t="array" ref="G45">_xll.FDSRC("-",$A$1,"FE_TIMESERIES("&amp;$D45&amp;",MEAN,"&amp;G$6&amp;","&amp;G$6&amp;",FY,'BKRACTMED=1,WIN=0,CURRENCY=USD,UNITS=AUTO,DATE=NOW')")</f>
        <v>8552.4</v>
      </c>
      <c r="H45" s="54" cm="1">
        <f t="array" ref="H45">_xll.FDSRC("-",$A$1,"FE_TIMESERIES("&amp;$D45&amp;",MEAN,"&amp;H$6&amp;","&amp;H$6&amp;",FY,'BKRACTMED=1,WIN=0,CURRENCY=USD,UNITS=AUTO,DATE=NOW')")</f>
        <v>8663.9</v>
      </c>
      <c r="I45" s="54" cm="1">
        <f t="array" ref="I45">_xll.FDSRC("-",$A$1,"FE_TIMESERIES("&amp;$D45&amp;",MEAN,"&amp;I$6&amp;","&amp;I$6&amp;",FY,'BKRACTMED=1,WIN=0,CURRENCY=USD,UNITS=AUTO,DATE=NOW')")</f>
        <v>8968</v>
      </c>
      <c r="J45" s="54" cm="1">
        <f t="array" ref="J45">_xll.FDSRC("-",$A$1,"FE_TIMESERIES("&amp;$D45&amp;",MEAN,"&amp;J$6&amp;","&amp;J$6&amp;",FY,'BKRACTMED=1,WIN=0,CURRENCY=USD,UNITS=AUTO,DATE=NOW')")</f>
        <v>9574.9</v>
      </c>
      <c r="K45" s="54" cm="1">
        <f t="array" ref="K45">_xll.FDSRC("-",$A$1,"FE_TIMESERIES("&amp;$D45&amp;",MEAN,"&amp;K$6&amp;","&amp;K$6&amp;",FY,'BKRACTMED=1,WIN=0,CURRENCY=USD,UNITS=AUTO,DATE=NOW')")</f>
        <v>8621.7999999999993</v>
      </c>
      <c r="L45" s="54" cm="1">
        <f t="array" ref="L45">_xll.FDSRC("-",$A$1,"FE_TIMESERIES("&amp;$D45&amp;",MEAN,"&amp;L$6&amp;","&amp;L$6&amp;",FY,'BKRACTMED=1,WIN=0,CURRENCY=USD,UNITS=AUTO,DATE=NOW')")</f>
        <v>9965</v>
      </c>
      <c r="M45" s="54" cm="1">
        <f t="array" ref="M45">_xll.FDSRC("-",$A$1,"FE_TIMESERIES("&amp;$D45&amp;",MEAN,"&amp;M$6&amp;","&amp;M$6&amp;",FY,'BKRACTMED=1,WIN=0,CURRENCY=USD,UNITS=AUTO,DATE=NOW')")</f>
        <v>10871</v>
      </c>
      <c r="N45" s="54" cm="1">
        <f t="array" ref="N45">_xll.FDSRC("-",$A$1,"FE_TIMESERIES("&amp;$D45&amp;",MEAN,"&amp;N$6&amp;","&amp;N$6&amp;",FY,'BKRACTMED=1,WIN=0,CURRENCY=USD,UNITS=AUTO,DATE=NOW')")</f>
        <v>11239.2</v>
      </c>
      <c r="O45" s="54" cm="1">
        <f t="array" ref="O45">_xll.FDSRC("-",$A$1,"FE_TIMESERIES("&amp;$D45&amp;",MEAN,"&amp;O$6&amp;","&amp;O$6&amp;",FY,'BKRACTMED=1,WIN=0,CURRENCY=USD,UNITS=AUTO,DATE=NOW')")</f>
        <v>9197.5</v>
      </c>
    </row>
    <row r="46" spans="1:15" x14ac:dyDescent="0.15">
      <c r="A46" s="45" t="s">
        <v>127</v>
      </c>
      <c r="E46" s="54" t="s">
        <v>240</v>
      </c>
      <c r="F46" s="54" t="s">
        <v>240</v>
      </c>
      <c r="G46" s="54" t="s">
        <v>240</v>
      </c>
      <c r="H46" s="54" t="s">
        <v>240</v>
      </c>
      <c r="I46" s="54" t="s">
        <v>240</v>
      </c>
      <c r="J46" s="54" t="s">
        <v>240</v>
      </c>
      <c r="K46" s="54" t="s">
        <v>240</v>
      </c>
      <c r="L46" s="54" t="s">
        <v>240</v>
      </c>
      <c r="M46" s="54" t="s">
        <v>240</v>
      </c>
      <c r="N46" s="54" t="s">
        <v>240</v>
      </c>
      <c r="O46" s="54" t="s">
        <v>240</v>
      </c>
    </row>
    <row r="47" spans="1:15" x14ac:dyDescent="0.15">
      <c r="A47" s="2"/>
    </row>
    <row r="48" spans="1:15" x14ac:dyDescent="0.15">
      <c r="A48" s="35" t="s">
        <v>209</v>
      </c>
    </row>
    <row r="49" spans="1:15" x14ac:dyDescent="0.15">
      <c r="A49" s="35" t="s">
        <v>129</v>
      </c>
    </row>
    <row r="50" spans="1:15" x14ac:dyDescent="0.15">
      <c r="A50" s="2" t="s">
        <v>99</v>
      </c>
      <c r="D50" t="s">
        <v>242</v>
      </c>
      <c r="E50" s="58" cm="1">
        <f t="array" ref="E50">_xll.FDSRC("-",$A$1,"FE_TIMESERIES("&amp;$D50&amp;",MEAN,"&amp;E$6&amp;","&amp;E$6&amp;",FY,'BKRACTMED=1,WIN=0,CURRENCY=USD,UNITS=AUTO,DATE=NOW')")</f>
        <v>894.4</v>
      </c>
      <c r="F50" s="58" cm="1">
        <f t="array" ref="F50">_xll.FDSRC("-",$A$1,"FE_TIMESERIES("&amp;$D50&amp;",MEAN,"&amp;F$6&amp;","&amp;F$6&amp;",FY,'BKRACTMED=1,WIN=0,CURRENCY=USD,UNITS=AUTO,DATE=NOW')")</f>
        <v>858.1</v>
      </c>
      <c r="G50" s="58" cm="1">
        <f t="array" ref="G50">_xll.FDSRC("-",$A$1,"FE_TIMESERIES("&amp;$D50&amp;",MEAN,"&amp;G$6&amp;","&amp;G$6&amp;",FY,'BKRACTMED=1,WIN=0,CURRENCY=USD,UNITS=AUTO,DATE=NOW')")</f>
        <v>413.4</v>
      </c>
      <c r="H50" s="58" cm="1">
        <f t="array" ref="H50">_xll.FDSRC("-",$A$1,"FE_TIMESERIES("&amp;$D50&amp;",MEAN,"&amp;H$6&amp;","&amp;H$6&amp;",FY,'BKRACTMED=1,WIN=0,CURRENCY=USD,UNITS=AUTO,DATE=NOW')")</f>
        <v>867.1</v>
      </c>
      <c r="I50" s="58" cm="1">
        <f t="array" ref="I50">_xll.FDSRC("-",$A$1,"FE_TIMESERIES("&amp;$D50&amp;",MEAN,"&amp;I$6&amp;","&amp;I$6&amp;",FY,'BKRACTMED=1,WIN=0,CURRENCY=USD,UNITS=AUTO,DATE=NOW')")</f>
        <v>931.4</v>
      </c>
      <c r="J50" s="58" cm="1">
        <f t="array" ref="J50">_xll.FDSRC("-",$A$1,"FE_TIMESERIES("&amp;$D50&amp;",MEAN,"&amp;J$6&amp;","&amp;J$6&amp;",FY,'BKRACTMED=1,WIN=0,CURRENCY=USD,UNITS=AUTO,DATE=NOW')")</f>
        <v>994.2</v>
      </c>
      <c r="K50" s="58" cm="1">
        <f t="array" ref="K50">_xll.FDSRC("-",$A$1,"FE_TIMESERIES("&amp;$D50&amp;",MEAN,"&amp;K$6&amp;","&amp;K$6&amp;",FY,'BKRACTMED=1,WIN=0,CURRENCY=USD,UNITS=AUTO,DATE=NOW')")</f>
        <v>523.4</v>
      </c>
      <c r="L50" s="58" cm="1">
        <f t="array" ref="L50">_xll.FDSRC("-",$A$1,"FE_TIMESERIES("&amp;$D50&amp;",MEAN,"&amp;L$6&amp;","&amp;L$6&amp;",FY,'BKRACTMED=1,WIN=0,CURRENCY=USD,UNITS=AUTO,DATE=NOW')")</f>
        <v>1100.3</v>
      </c>
      <c r="M50" s="58" cm="1">
        <f t="array" ref="M50">_xll.FDSRC("-",$A$1,"FE_TIMESERIES("&amp;$D50&amp;",MEAN,"&amp;M$6&amp;","&amp;M$6&amp;",FY,'BKRACTMED=1,WIN=0,CURRENCY=USD,UNITS=AUTO,DATE=NOW')")</f>
        <v>1005.4</v>
      </c>
      <c r="N50" s="58" cm="1">
        <f t="array" ref="N50">_xll.FDSRC("-",$A$1,"FE_TIMESERIES("&amp;$D50&amp;",MEAN,"&amp;N$6&amp;","&amp;N$6&amp;",FY,'BKRACTMED=1,WIN=0,CURRENCY=USD,UNITS=AUTO,DATE=NOW')")</f>
        <v>890.7</v>
      </c>
      <c r="O50" s="58" cm="1">
        <f t="array" ref="O50">_xll.FDSRC("-",$A$1,"FE_TIMESERIES("&amp;$D50&amp;",MEAN,"&amp;O$6&amp;","&amp;O$6&amp;",FY,'BKRACTMED=1,WIN=0,CURRENCY=USD,UNITS=AUTO,DATE=NOW')")</f>
        <v>1254.3</v>
      </c>
    </row>
    <row r="51" spans="1:15" x14ac:dyDescent="0.15">
      <c r="A51" s="8" t="s">
        <v>131</v>
      </c>
      <c r="D51" t="s">
        <v>254</v>
      </c>
      <c r="E51" s="54" t="str" cm="1">
        <f t="array" ref="E51">_xll.FDSRC("-",$A$1,"FE_TIMESERIES("&amp;$D51&amp;",MEAN,"&amp;E$6&amp;","&amp;E$6&amp;",FY,'BKRACTMED=1,WIN=0,CURRENCY=USD,UNITS=AUTO,DATE=NOW')")</f>
        <v>-</v>
      </c>
      <c r="F51" s="54" t="str" cm="1">
        <f t="array" ref="F51">_xll.FDSRC("-",$A$1,"FE_TIMESERIES("&amp;$D51&amp;",MEAN,"&amp;F$6&amp;","&amp;F$6&amp;",FY,'BKRACTMED=1,WIN=0,CURRENCY=USD,UNITS=AUTO,DATE=NOW')")</f>
        <v>-</v>
      </c>
      <c r="G51" s="54" t="str" cm="1">
        <f t="array" ref="G51">_xll.FDSRC("-",$A$1,"FE_TIMESERIES("&amp;$D51&amp;",MEAN,"&amp;G$6&amp;","&amp;G$6&amp;",FY,'BKRACTMED=1,WIN=0,CURRENCY=USD,UNITS=AUTO,DATE=NOW')")</f>
        <v>-</v>
      </c>
      <c r="H51" s="54" t="str" cm="1">
        <f t="array" ref="H51">_xll.FDSRC("-",$A$1,"FE_TIMESERIES("&amp;$D51&amp;",MEAN,"&amp;H$6&amp;","&amp;H$6&amp;",FY,'BKRACTMED=1,WIN=0,CURRENCY=USD,UNITS=AUTO,DATE=NOW')")</f>
        <v>-</v>
      </c>
      <c r="I51" s="54" t="str" cm="1">
        <f t="array" ref="I51">_xll.FDSRC("-",$A$1,"FE_TIMESERIES("&amp;$D51&amp;",MEAN,"&amp;I$6&amp;","&amp;I$6&amp;",FY,'BKRACTMED=1,WIN=0,CURRENCY=USD,UNITS=AUTO,DATE=NOW')")</f>
        <v>-</v>
      </c>
      <c r="J51" s="54" t="str" cm="1">
        <f t="array" ref="J51">_xll.FDSRC("-",$A$1,"FE_TIMESERIES("&amp;$D51&amp;",MEAN,"&amp;J$6&amp;","&amp;J$6&amp;",FY,'BKRACTMED=1,WIN=0,CURRENCY=USD,UNITS=AUTO,DATE=NOW')")</f>
        <v>-</v>
      </c>
      <c r="K51" s="54" t="str" cm="1">
        <f t="array" ref="K51">_xll.FDSRC("-",$A$1,"FE_TIMESERIES("&amp;$D51&amp;",MEAN,"&amp;K$6&amp;","&amp;K$6&amp;",FY,'BKRACTMED=1,WIN=0,CURRENCY=USD,UNITS=AUTO,DATE=NOW')")</f>
        <v>-</v>
      </c>
      <c r="L51" s="54" t="str" cm="1">
        <f t="array" ref="L51">_xll.FDSRC("-",$A$1,"FE_TIMESERIES("&amp;$D51&amp;",MEAN,"&amp;L$6&amp;","&amp;L$6&amp;",FY,'BKRACTMED=1,WIN=0,CURRENCY=USD,UNITS=AUTO,DATE=NOW')")</f>
        <v>-</v>
      </c>
      <c r="M51" s="54" t="str" cm="1">
        <f t="array" ref="M51">_xll.FDSRC("-",$A$1,"FE_TIMESERIES("&amp;$D51&amp;",MEAN,"&amp;M$6&amp;","&amp;M$6&amp;",FY,'BKRACTMED=1,WIN=0,CURRENCY=USD,UNITS=AUTO,DATE=NOW')")</f>
        <v>-</v>
      </c>
      <c r="N51" s="54" t="str" cm="1">
        <f t="array" ref="N51">_xll.FDSRC("-",$A$1,"FE_TIMESERIES("&amp;$D51&amp;",MEAN,"&amp;N$6&amp;","&amp;N$6&amp;",FY,'BKRACTMED=1,WIN=0,CURRENCY=USD,UNITS=AUTO,DATE=NOW')")</f>
        <v>-</v>
      </c>
      <c r="O51" s="54" t="str" cm="1">
        <f t="array" ref="O51">_xll.FDSRC("-",$A$1,"FE_TIMESERIES("&amp;$D51&amp;",MEAN,"&amp;O$6&amp;","&amp;O$6&amp;",FY,'BKRACTMED=1,WIN=0,CURRENCY=USD,UNITS=AUTO,DATE=NOW')")</f>
        <v>-</v>
      </c>
    </row>
    <row r="52" spans="1:15" x14ac:dyDescent="0.15">
      <c r="A52" s="8" t="s">
        <v>132</v>
      </c>
      <c r="E52" s="54" t="s">
        <v>240</v>
      </c>
      <c r="F52" s="54" t="s">
        <v>240</v>
      </c>
      <c r="G52" s="54" t="s">
        <v>240</v>
      </c>
      <c r="H52" s="54" t="s">
        <v>240</v>
      </c>
      <c r="I52" s="54" t="s">
        <v>240</v>
      </c>
      <c r="J52" s="54" t="s">
        <v>240</v>
      </c>
      <c r="K52" s="54" t="s">
        <v>240</v>
      </c>
      <c r="L52" s="54" t="s">
        <v>240</v>
      </c>
      <c r="M52" s="54" t="s">
        <v>240</v>
      </c>
      <c r="N52" s="54" t="s">
        <v>240</v>
      </c>
      <c r="O52" s="54" t="s">
        <v>240</v>
      </c>
    </row>
    <row r="53" spans="1:15" x14ac:dyDescent="0.15">
      <c r="A53" s="8" t="s">
        <v>133</v>
      </c>
      <c r="E53" s="54" t="s">
        <v>240</v>
      </c>
      <c r="F53" s="54" t="s">
        <v>240</v>
      </c>
      <c r="G53" s="54" t="s">
        <v>240</v>
      </c>
      <c r="H53" s="54" t="s">
        <v>240</v>
      </c>
      <c r="I53" s="54" t="s">
        <v>240</v>
      </c>
      <c r="J53" s="54" t="s">
        <v>240</v>
      </c>
      <c r="K53" s="54" t="s">
        <v>240</v>
      </c>
      <c r="L53" s="54" t="s">
        <v>240</v>
      </c>
      <c r="M53" s="54" t="s">
        <v>240</v>
      </c>
      <c r="N53" s="54" t="s">
        <v>240</v>
      </c>
      <c r="O53" s="54" t="s">
        <v>240</v>
      </c>
    </row>
    <row r="54" spans="1:15" x14ac:dyDescent="0.15">
      <c r="A54" s="8" t="s">
        <v>134</v>
      </c>
      <c r="E54" s="54" t="s">
        <v>240</v>
      </c>
      <c r="F54" s="54" t="s">
        <v>240</v>
      </c>
      <c r="G54" s="54" t="s">
        <v>240</v>
      </c>
      <c r="H54" s="54" t="s">
        <v>240</v>
      </c>
      <c r="I54" s="54" t="s">
        <v>240</v>
      </c>
      <c r="J54" s="54" t="s">
        <v>240</v>
      </c>
      <c r="K54" s="54" t="s">
        <v>240</v>
      </c>
      <c r="L54" s="54" t="s">
        <v>240</v>
      </c>
      <c r="M54" s="54" t="s">
        <v>240</v>
      </c>
      <c r="N54" s="54" t="s">
        <v>240</v>
      </c>
      <c r="O54" s="54" t="s">
        <v>240</v>
      </c>
    </row>
    <row r="55" spans="1:15" x14ac:dyDescent="0.15">
      <c r="A55" s="8" t="s">
        <v>135</v>
      </c>
      <c r="E55" s="54" t="s">
        <v>240</v>
      </c>
      <c r="F55" s="54" t="s">
        <v>240</v>
      </c>
      <c r="G55" s="54" t="s">
        <v>240</v>
      </c>
      <c r="H55" s="54" t="s">
        <v>240</v>
      </c>
      <c r="I55" s="54" t="s">
        <v>240</v>
      </c>
      <c r="J55" s="54" t="s">
        <v>240</v>
      </c>
      <c r="K55" s="54" t="s">
        <v>240</v>
      </c>
      <c r="L55" s="54" t="s">
        <v>240</v>
      </c>
      <c r="M55" s="54" t="s">
        <v>240</v>
      </c>
      <c r="N55" s="54" t="s">
        <v>240</v>
      </c>
      <c r="O55" s="54" t="s">
        <v>240</v>
      </c>
    </row>
    <row r="56" spans="1:15" x14ac:dyDescent="0.15">
      <c r="A56" s="41" t="s">
        <v>136</v>
      </c>
      <c r="D56" t="s">
        <v>255</v>
      </c>
      <c r="E56" s="58" t="str" cm="1">
        <f t="array" ref="E56">_xll.FDSRC("-",$A$1,"FE_TIMESERIES("&amp;$D56&amp;",MEAN,"&amp;E$6&amp;","&amp;E$6&amp;",FY,'BKRACTMED=1,WIN=0,CURRENCY=USD,UNITS=AUTO,DATE=NOW')")</f>
        <v>-</v>
      </c>
      <c r="F56" s="58" t="str" cm="1">
        <f t="array" ref="F56">_xll.FDSRC("-",$A$1,"FE_TIMESERIES("&amp;$D56&amp;",MEAN,"&amp;F$6&amp;","&amp;F$6&amp;",FY,'BKRACTMED=1,WIN=0,CURRENCY=USD,UNITS=AUTO,DATE=NOW')")</f>
        <v>-</v>
      </c>
      <c r="G56" s="58" t="str" cm="1">
        <f t="array" ref="G56">_xll.FDSRC("-",$A$1,"FE_TIMESERIES("&amp;$D56&amp;",MEAN,"&amp;G$6&amp;","&amp;G$6&amp;",FY,'BKRACTMED=1,WIN=0,CURRENCY=USD,UNITS=AUTO,DATE=NOW')")</f>
        <v>-</v>
      </c>
      <c r="H56" s="58" cm="1">
        <f t="array" ref="H56">_xll.FDSRC("-",$A$1,"FE_TIMESERIES("&amp;$D56&amp;",MEAN,"&amp;H$6&amp;","&amp;H$6&amp;",FY,'BKRACTMED=1,WIN=0,CURRENCY=USD,UNITS=AUTO,DATE=NOW')")</f>
        <v>1456.9</v>
      </c>
      <c r="I56" s="58" t="str" cm="1">
        <f t="array" ref="I56">_xll.FDSRC("-",$A$1,"FE_TIMESERIES("&amp;$D56&amp;",MEAN,"&amp;I$6&amp;","&amp;I$6&amp;",FY,'BKRACTMED=1,WIN=0,CURRENCY=USD,UNITS=AUTO,DATE=NOW')")</f>
        <v>-</v>
      </c>
      <c r="J56" s="58" t="str" cm="1">
        <f t="array" ref="J56">_xll.FDSRC("-",$A$1,"FE_TIMESERIES("&amp;$D56&amp;",MEAN,"&amp;J$6&amp;","&amp;J$6&amp;",FY,'BKRACTMED=1,WIN=0,CURRENCY=USD,UNITS=AUTO,DATE=NOW')")</f>
        <v>-</v>
      </c>
      <c r="K56" s="58" t="str" cm="1">
        <f t="array" ref="K56">_xll.FDSRC("-",$A$1,"FE_TIMESERIES("&amp;$D56&amp;",MEAN,"&amp;K$6&amp;","&amp;K$6&amp;",FY,'BKRACTMED=1,WIN=0,CURRENCY=USD,UNITS=AUTO,DATE=NOW')")</f>
        <v>-</v>
      </c>
      <c r="L56" s="58" t="str" cm="1">
        <f t="array" ref="L56">_xll.FDSRC("-",$A$1,"FE_TIMESERIES("&amp;$D56&amp;",MEAN,"&amp;L$6&amp;","&amp;L$6&amp;",FY,'BKRACTMED=1,WIN=0,CURRENCY=USD,UNITS=AUTO,DATE=NOW')")</f>
        <v>-</v>
      </c>
      <c r="M56" s="58" t="str" cm="1">
        <f t="array" ref="M56">_xll.FDSRC("-",$A$1,"FE_TIMESERIES("&amp;$D56&amp;",MEAN,"&amp;M$6&amp;","&amp;M$6&amp;",FY,'BKRACTMED=1,WIN=0,CURRENCY=USD,UNITS=AUTO,DATE=NOW')")</f>
        <v>-</v>
      </c>
      <c r="N56" s="58" cm="1">
        <f t="array" ref="N56">_xll.FDSRC("-",$A$1,"FE_TIMESERIES("&amp;$D56&amp;",MEAN,"&amp;N$6&amp;","&amp;N$6&amp;",FY,'BKRACTMED=1,WIN=0,CURRENCY=USD,UNITS=AUTO,DATE=NOW')")</f>
        <v>1702.5</v>
      </c>
      <c r="O56" s="58" cm="1">
        <f t="array" ref="O56">_xll.FDSRC("-",$A$1,"FE_TIMESERIES("&amp;$D56&amp;",MEAN,"&amp;O$6&amp;","&amp;O$6&amp;",FY,'BKRACTMED=1,WIN=0,CURRENCY=USD,UNITS=AUTO,DATE=NOW')")</f>
        <v>2146.75</v>
      </c>
    </row>
    <row r="57" spans="1:15" x14ac:dyDescent="0.15">
      <c r="A57" s="41"/>
    </row>
    <row r="58" spans="1:15" x14ac:dyDescent="0.15">
      <c r="A58" s="41" t="s">
        <v>138</v>
      </c>
    </row>
    <row r="59" spans="1:15" x14ac:dyDescent="0.15">
      <c r="A59" s="70" t="s">
        <v>139</v>
      </c>
      <c r="D59" t="s">
        <v>140</v>
      </c>
      <c r="E59" s="54" t="e" cm="1">
        <f t="array" ref="E59">-_xll.FDSRC("-",$A$1,"FE_TIMESERIES("&amp;$D59&amp;",MEAN,"&amp;E$6&amp;","&amp;E$6&amp;",FY,'BKRACTMED=1,WIN=0,CURRENCY=USD,UNITS=AUTO,DATE=NOW')")</f>
        <v>#VALUE!</v>
      </c>
      <c r="F59" s="54" t="e" cm="1">
        <f t="array" ref="F59">-_xll.FDSRC("-",$A$1,"FE_TIMESERIES("&amp;$D59&amp;",MEAN,"&amp;F$6&amp;","&amp;F$6&amp;",FY,'BKRACTMED=1,WIN=0,CURRENCY=USD,UNITS=AUTO,DATE=NOW')")</f>
        <v>#VALUE!</v>
      </c>
      <c r="G59" s="54" t="e" cm="1">
        <f t="array" ref="G59">-_xll.FDSRC("-",$A$1,"FE_TIMESERIES("&amp;$D59&amp;",MEAN,"&amp;G$6&amp;","&amp;G$6&amp;",FY,'BKRACTMED=1,WIN=0,CURRENCY=USD,UNITS=AUTO,DATE=NOW')")</f>
        <v>#VALUE!</v>
      </c>
      <c r="H59" s="54" t="e" cm="1">
        <f t="array" ref="H59">-_xll.FDSRC("-",$A$1,"FE_TIMESERIES("&amp;$D59&amp;",MEAN,"&amp;H$6&amp;","&amp;H$6&amp;",FY,'BKRACTMED=1,WIN=0,CURRENCY=USD,UNITS=AUTO,DATE=NOW')")</f>
        <v>#VALUE!</v>
      </c>
      <c r="I59" s="54" t="e" cm="1">
        <f t="array" ref="I59">-_xll.FDSRC("-",$A$1,"FE_TIMESERIES("&amp;$D59&amp;",MEAN,"&amp;I$6&amp;","&amp;I$6&amp;",FY,'BKRACTMED=1,WIN=0,CURRENCY=USD,UNITS=AUTO,DATE=NOW')")</f>
        <v>#VALUE!</v>
      </c>
      <c r="J59" s="54" t="e" cm="1">
        <f t="array" ref="J59">-_xll.FDSRC("-",$A$1,"FE_TIMESERIES("&amp;$D59&amp;",MEAN,"&amp;J$6&amp;","&amp;J$6&amp;",FY,'BKRACTMED=1,WIN=0,CURRENCY=USD,UNITS=AUTO,DATE=NOW')")</f>
        <v>#VALUE!</v>
      </c>
      <c r="K59" s="54" t="e" cm="1">
        <f t="array" ref="K59">-_xll.FDSRC("-",$A$1,"FE_TIMESERIES("&amp;$D59&amp;",MEAN,"&amp;K$6&amp;","&amp;K$6&amp;",FY,'BKRACTMED=1,WIN=0,CURRENCY=USD,UNITS=AUTO,DATE=NOW')")</f>
        <v>#VALUE!</v>
      </c>
      <c r="L59" s="54" t="e" cm="1">
        <f t="array" ref="L59">-_xll.FDSRC("-",$A$1,"FE_TIMESERIES("&amp;$D59&amp;",MEAN,"&amp;L$6&amp;","&amp;L$6&amp;",FY,'BKRACTMED=1,WIN=0,CURRENCY=USD,UNITS=AUTO,DATE=NOW')")</f>
        <v>#VALUE!</v>
      </c>
      <c r="M59" s="54" t="e" cm="1">
        <f t="array" ref="M59">-_xll.FDSRC("-",$A$1,"FE_TIMESERIES("&amp;$D59&amp;",MEAN,"&amp;M$6&amp;","&amp;M$6&amp;",FY,'BKRACTMED=1,WIN=0,CURRENCY=USD,UNITS=AUTO,DATE=NOW')")</f>
        <v>#VALUE!</v>
      </c>
      <c r="N59" s="54" t="e" cm="1">
        <f t="array" ref="N59">-_xll.FDSRC("-",$A$1,"FE_TIMESERIES("&amp;$D59&amp;",MEAN,"&amp;N$6&amp;","&amp;N$6&amp;",FY,'BKRACTMED=1,WIN=0,CURRENCY=USD,UNITS=AUTO,DATE=NOW')")</f>
        <v>#VALUE!</v>
      </c>
      <c r="O59" s="54" t="e" cm="1">
        <f t="array" ref="O59">-_xll.FDSRC("-",$A$1,"FE_TIMESERIES("&amp;$D59&amp;",MEAN,"&amp;O$6&amp;","&amp;O$6&amp;",FY,'BKRACTMED=1,WIN=0,CURRENCY=USD,UNITS=AUTO,DATE=NOW')")</f>
        <v>#VALUE!</v>
      </c>
    </row>
    <row r="60" spans="1:15" x14ac:dyDescent="0.15">
      <c r="A60" s="44" t="s">
        <v>141</v>
      </c>
      <c r="E60" s="54" t="s">
        <v>240</v>
      </c>
      <c r="F60" s="54" t="s">
        <v>240</v>
      </c>
      <c r="G60" s="54" t="s">
        <v>240</v>
      </c>
      <c r="H60" s="54" t="s">
        <v>240</v>
      </c>
      <c r="I60" s="54" t="s">
        <v>240</v>
      </c>
      <c r="J60" s="54" t="s">
        <v>240</v>
      </c>
      <c r="K60" s="54" t="s">
        <v>240</v>
      </c>
      <c r="L60" s="54" t="s">
        <v>240</v>
      </c>
      <c r="M60" s="54" t="s">
        <v>240</v>
      </c>
      <c r="N60" s="54" t="s">
        <v>240</v>
      </c>
      <c r="O60" s="54" t="s">
        <v>240</v>
      </c>
    </row>
    <row r="61" spans="1:15" x14ac:dyDescent="0.15">
      <c r="A61" s="44" t="s">
        <v>142</v>
      </c>
      <c r="E61" s="54" t="s">
        <v>240</v>
      </c>
      <c r="F61" s="54" t="s">
        <v>240</v>
      </c>
      <c r="G61" s="54" t="s">
        <v>240</v>
      </c>
      <c r="H61" s="54" t="s">
        <v>240</v>
      </c>
      <c r="I61" s="54" t="s">
        <v>240</v>
      </c>
      <c r="J61" s="54" t="s">
        <v>240</v>
      </c>
      <c r="K61" s="54" t="s">
        <v>240</v>
      </c>
      <c r="L61" s="54" t="s">
        <v>240</v>
      </c>
      <c r="M61" s="54" t="s">
        <v>240</v>
      </c>
      <c r="N61" s="54" t="s">
        <v>240</v>
      </c>
      <c r="O61" s="54" t="s">
        <v>240</v>
      </c>
    </row>
    <row r="62" spans="1:15" x14ac:dyDescent="0.15">
      <c r="A62" s="45" t="s">
        <v>143</v>
      </c>
      <c r="E62" s="54" t="s">
        <v>240</v>
      </c>
      <c r="F62" s="54" t="s">
        <v>240</v>
      </c>
      <c r="G62" s="54" t="s">
        <v>240</v>
      </c>
      <c r="H62" s="54" t="s">
        <v>240</v>
      </c>
      <c r="I62" s="54" t="s">
        <v>240</v>
      </c>
      <c r="J62" s="54" t="s">
        <v>240</v>
      </c>
      <c r="K62" s="54" t="s">
        <v>240</v>
      </c>
      <c r="L62" s="54" t="s">
        <v>240</v>
      </c>
      <c r="M62" s="54" t="s">
        <v>240</v>
      </c>
      <c r="N62" s="54" t="s">
        <v>240</v>
      </c>
      <c r="O62" s="54" t="s">
        <v>240</v>
      </c>
    </row>
    <row r="63" spans="1:15" x14ac:dyDescent="0.15">
      <c r="A63" s="71" t="s">
        <v>144</v>
      </c>
      <c r="E63" s="54" t="s">
        <v>240</v>
      </c>
      <c r="F63" s="54" t="s">
        <v>240</v>
      </c>
      <c r="G63" s="54" t="s">
        <v>240</v>
      </c>
      <c r="H63" s="54" t="s">
        <v>240</v>
      </c>
      <c r="I63" s="54" t="s">
        <v>240</v>
      </c>
      <c r="J63" s="54" t="s">
        <v>240</v>
      </c>
      <c r="K63" s="54" t="s">
        <v>240</v>
      </c>
      <c r="L63" s="54" t="s">
        <v>240</v>
      </c>
      <c r="M63" s="54" t="s">
        <v>240</v>
      </c>
      <c r="N63" s="54" t="s">
        <v>240</v>
      </c>
      <c r="O63" s="54" t="s">
        <v>240</v>
      </c>
    </row>
    <row r="64" spans="1:15" x14ac:dyDescent="0.15">
      <c r="A64" s="71" t="s">
        <v>145</v>
      </c>
      <c r="E64" s="54" t="s">
        <v>240</v>
      </c>
      <c r="F64" s="54" t="s">
        <v>240</v>
      </c>
      <c r="G64" s="54" t="s">
        <v>240</v>
      </c>
      <c r="H64" s="54" t="s">
        <v>240</v>
      </c>
      <c r="I64" s="54" t="s">
        <v>240</v>
      </c>
      <c r="J64" s="54" t="s">
        <v>240</v>
      </c>
      <c r="K64" s="54" t="s">
        <v>240</v>
      </c>
      <c r="L64" s="54" t="s">
        <v>240</v>
      </c>
      <c r="M64" s="54" t="s">
        <v>240</v>
      </c>
      <c r="N64" s="54" t="s">
        <v>240</v>
      </c>
      <c r="O64" s="54" t="s">
        <v>240</v>
      </c>
    </row>
    <row r="65" spans="1:15" x14ac:dyDescent="0.15">
      <c r="A65" s="45" t="s">
        <v>134</v>
      </c>
      <c r="E65" s="54" t="s">
        <v>240</v>
      </c>
      <c r="F65" s="54" t="s">
        <v>240</v>
      </c>
      <c r="G65" s="54" t="s">
        <v>240</v>
      </c>
      <c r="H65" s="54" t="s">
        <v>240</v>
      </c>
      <c r="I65" s="54" t="s">
        <v>240</v>
      </c>
      <c r="J65" s="54" t="s">
        <v>240</v>
      </c>
      <c r="K65" s="54" t="s">
        <v>240</v>
      </c>
      <c r="L65" s="54" t="s">
        <v>240</v>
      </c>
      <c r="M65" s="54" t="s">
        <v>240</v>
      </c>
      <c r="N65" s="54" t="s">
        <v>240</v>
      </c>
      <c r="O65" s="54" t="s">
        <v>240</v>
      </c>
    </row>
    <row r="66" spans="1:15" x14ac:dyDescent="0.15">
      <c r="A66" s="71" t="s">
        <v>146</v>
      </c>
      <c r="E66" s="54" t="s">
        <v>240</v>
      </c>
      <c r="F66" s="54" t="s">
        <v>240</v>
      </c>
      <c r="G66" s="54" t="s">
        <v>240</v>
      </c>
      <c r="H66" s="54" t="s">
        <v>240</v>
      </c>
      <c r="I66" s="54" t="s">
        <v>240</v>
      </c>
      <c r="J66" s="54" t="s">
        <v>240</v>
      </c>
      <c r="K66" s="54" t="s">
        <v>240</v>
      </c>
      <c r="L66" s="54" t="s">
        <v>240</v>
      </c>
      <c r="M66" s="54" t="s">
        <v>240</v>
      </c>
      <c r="N66" s="54" t="s">
        <v>240</v>
      </c>
      <c r="O66" s="54" t="s">
        <v>240</v>
      </c>
    </row>
    <row r="67" spans="1:15" x14ac:dyDescent="0.15">
      <c r="A67" s="71" t="s">
        <v>147</v>
      </c>
      <c r="E67" s="54" t="s">
        <v>240</v>
      </c>
      <c r="F67" s="54" t="s">
        <v>240</v>
      </c>
      <c r="G67" s="54" t="s">
        <v>240</v>
      </c>
      <c r="H67" s="54" t="s">
        <v>240</v>
      </c>
      <c r="I67" s="54" t="s">
        <v>240</v>
      </c>
      <c r="J67" s="54" t="s">
        <v>240</v>
      </c>
      <c r="K67" s="54" t="s">
        <v>240</v>
      </c>
      <c r="L67" s="54" t="s">
        <v>240</v>
      </c>
      <c r="M67" s="54" t="s">
        <v>240</v>
      </c>
      <c r="N67" s="54" t="s">
        <v>240</v>
      </c>
      <c r="O67" s="54" t="s">
        <v>240</v>
      </c>
    </row>
    <row r="68" spans="1:15" x14ac:dyDescent="0.15">
      <c r="A68" s="41" t="s">
        <v>148</v>
      </c>
      <c r="D68" t="s">
        <v>256</v>
      </c>
      <c r="E68" s="58" t="str" cm="1">
        <f t="array" ref="E68">_xll.FDSRC("-",$A$1,"FE_TIMESERIES("&amp;$D68&amp;",MEAN,"&amp;E$6&amp;","&amp;E$6&amp;",FY,'BKRACTMED=1,WIN=0,CURRENCY=USD,UNITS=AUTO,DATE=NOW')")</f>
        <v>-</v>
      </c>
      <c r="F68" s="58" t="str" cm="1">
        <f t="array" ref="F68">_xll.FDSRC("-",$A$1,"FE_TIMESERIES("&amp;$D68&amp;",MEAN,"&amp;F$6&amp;","&amp;F$6&amp;",FY,'BKRACTMED=1,WIN=0,CURRENCY=USD,UNITS=AUTO,DATE=NOW')")</f>
        <v>-</v>
      </c>
      <c r="G68" s="58" t="str" cm="1">
        <f t="array" ref="G68">_xll.FDSRC("-",$A$1,"FE_TIMESERIES("&amp;$D68&amp;",MEAN,"&amp;G$6&amp;","&amp;G$6&amp;",FY,'BKRACTMED=1,WIN=0,CURRENCY=USD,UNITS=AUTO,DATE=NOW')")</f>
        <v>-</v>
      </c>
      <c r="H68" s="58" t="str" cm="1">
        <f t="array" ref="H68">_xll.FDSRC("-",$A$1,"FE_TIMESERIES("&amp;$D68&amp;",MEAN,"&amp;H$6&amp;","&amp;H$6&amp;",FY,'BKRACTMED=1,WIN=0,CURRENCY=USD,UNITS=AUTO,DATE=NOW')")</f>
        <v>-</v>
      </c>
      <c r="I68" s="58" t="str" cm="1">
        <f t="array" ref="I68">_xll.FDSRC("-",$A$1,"FE_TIMESERIES("&amp;$D68&amp;",MEAN,"&amp;I$6&amp;","&amp;I$6&amp;",FY,'BKRACTMED=1,WIN=0,CURRENCY=USD,UNITS=AUTO,DATE=NOW')")</f>
        <v>-</v>
      </c>
      <c r="J68" s="58" t="str" cm="1">
        <f t="array" ref="J68">_xll.FDSRC("-",$A$1,"FE_TIMESERIES("&amp;$D68&amp;",MEAN,"&amp;J$6&amp;","&amp;J$6&amp;",FY,'BKRACTMED=1,WIN=0,CURRENCY=USD,UNITS=AUTO,DATE=NOW')")</f>
        <v>-</v>
      </c>
      <c r="K68" s="58" t="str" cm="1">
        <f t="array" ref="K68">_xll.FDSRC("-",$A$1,"FE_TIMESERIES("&amp;$D68&amp;",MEAN,"&amp;K$6&amp;","&amp;K$6&amp;",FY,'BKRACTMED=1,WIN=0,CURRENCY=USD,UNITS=AUTO,DATE=NOW')")</f>
        <v>-</v>
      </c>
      <c r="L68" s="58" t="str" cm="1">
        <f t="array" ref="L68">_xll.FDSRC("-",$A$1,"FE_TIMESERIES("&amp;$D68&amp;",MEAN,"&amp;L$6&amp;","&amp;L$6&amp;",FY,'BKRACTMED=1,WIN=0,CURRENCY=USD,UNITS=AUTO,DATE=NOW')")</f>
        <v>-</v>
      </c>
      <c r="M68" s="58" t="str" cm="1">
        <f t="array" ref="M68">_xll.FDSRC("-",$A$1,"FE_TIMESERIES("&amp;$D68&amp;",MEAN,"&amp;M$6&amp;","&amp;M$6&amp;",FY,'BKRACTMED=1,WIN=0,CURRENCY=USD,UNITS=AUTO,DATE=NOW')")</f>
        <v>-</v>
      </c>
      <c r="N68" s="58" t="str" cm="1">
        <f t="array" ref="N68">_xll.FDSRC("-",$A$1,"FE_TIMESERIES("&amp;$D68&amp;",MEAN,"&amp;N$6&amp;","&amp;N$6&amp;",FY,'BKRACTMED=1,WIN=0,CURRENCY=USD,UNITS=AUTO,DATE=NOW')")</f>
        <v>-</v>
      </c>
      <c r="O68" s="58" t="str" cm="1">
        <f t="array" ref="O68">_xll.FDSRC("-",$A$1,"FE_TIMESERIES("&amp;$D68&amp;",MEAN,"&amp;O$6&amp;","&amp;O$6&amp;",FY,'BKRACTMED=1,WIN=0,CURRENCY=USD,UNITS=AUTO,DATE=NOW')")</f>
        <v>-</v>
      </c>
    </row>
    <row r="69" spans="1:15" x14ac:dyDescent="0.15">
      <c r="A69" s="2"/>
    </row>
    <row r="70" spans="1:15" x14ac:dyDescent="0.15">
      <c r="A70" s="41" t="s">
        <v>154</v>
      </c>
    </row>
    <row r="71" spans="1:15" x14ac:dyDescent="0.15">
      <c r="A71" s="2" t="s">
        <v>155</v>
      </c>
      <c r="E71" s="54" t="s">
        <v>240</v>
      </c>
      <c r="F71" s="54" t="s">
        <v>240</v>
      </c>
      <c r="G71" s="54" t="s">
        <v>240</v>
      </c>
      <c r="H71" s="54" t="s">
        <v>240</v>
      </c>
      <c r="I71" s="54" t="s">
        <v>240</v>
      </c>
      <c r="J71" s="54" t="s">
        <v>240</v>
      </c>
      <c r="K71" s="54" t="s">
        <v>240</v>
      </c>
      <c r="L71" s="54" t="s">
        <v>240</v>
      </c>
      <c r="M71" s="54" t="s">
        <v>240</v>
      </c>
      <c r="N71" s="54" t="s">
        <v>240</v>
      </c>
      <c r="O71" s="54" t="s">
        <v>240</v>
      </c>
    </row>
    <row r="72" spans="1:15" x14ac:dyDescent="0.15">
      <c r="A72" s="2" t="s">
        <v>156</v>
      </c>
      <c r="E72" s="54" t="s">
        <v>240</v>
      </c>
      <c r="F72" s="54" t="s">
        <v>240</v>
      </c>
      <c r="G72" s="54" t="s">
        <v>240</v>
      </c>
      <c r="H72" s="54" t="s">
        <v>240</v>
      </c>
      <c r="I72" s="54" t="s">
        <v>240</v>
      </c>
      <c r="J72" s="54" t="s">
        <v>240</v>
      </c>
      <c r="K72" s="54" t="s">
        <v>240</v>
      </c>
      <c r="L72" s="54" t="s">
        <v>240</v>
      </c>
      <c r="M72" s="54" t="s">
        <v>240</v>
      </c>
      <c r="N72" s="54" t="s">
        <v>240</v>
      </c>
      <c r="O72" s="54" t="s">
        <v>240</v>
      </c>
    </row>
    <row r="73" spans="1:15" x14ac:dyDescent="0.15">
      <c r="A73" s="2" t="s">
        <v>157</v>
      </c>
      <c r="E73" s="54" t="s">
        <v>240</v>
      </c>
      <c r="F73" s="54" t="s">
        <v>240</v>
      </c>
      <c r="G73" s="54" t="s">
        <v>240</v>
      </c>
      <c r="H73" s="54" t="s">
        <v>240</v>
      </c>
      <c r="I73" s="54" t="s">
        <v>240</v>
      </c>
      <c r="J73" s="54" t="s">
        <v>240</v>
      </c>
      <c r="K73" s="54" t="s">
        <v>240</v>
      </c>
      <c r="L73" s="54" t="s">
        <v>240</v>
      </c>
      <c r="M73" s="54" t="s">
        <v>240</v>
      </c>
      <c r="N73" s="54" t="s">
        <v>240</v>
      </c>
      <c r="O73" s="54" t="s">
        <v>240</v>
      </c>
    </row>
    <row r="74" spans="1:15" x14ac:dyDescent="0.15">
      <c r="A74" s="2" t="s">
        <v>134</v>
      </c>
      <c r="E74" s="54" t="s">
        <v>240</v>
      </c>
      <c r="F74" s="54" t="s">
        <v>240</v>
      </c>
      <c r="G74" s="54" t="s">
        <v>240</v>
      </c>
      <c r="H74" s="54" t="s">
        <v>240</v>
      </c>
      <c r="I74" s="54" t="s">
        <v>240</v>
      </c>
      <c r="J74" s="54" t="s">
        <v>240</v>
      </c>
      <c r="K74" s="54" t="s">
        <v>240</v>
      </c>
      <c r="L74" s="54" t="s">
        <v>240</v>
      </c>
      <c r="M74" s="54" t="s">
        <v>240</v>
      </c>
      <c r="N74" s="54" t="s">
        <v>240</v>
      </c>
      <c r="O74" s="54" t="s">
        <v>240</v>
      </c>
    </row>
    <row r="75" spans="1:15" x14ac:dyDescent="0.15">
      <c r="A75" s="41" t="s">
        <v>158</v>
      </c>
      <c r="D75" t="s">
        <v>257</v>
      </c>
      <c r="E75" s="58" t="str" cm="1">
        <f t="array" ref="E75">_xll.FDSRC("-",$A$1,"FE_TIMESERIES("&amp;$D75&amp;",MEAN,"&amp;E$6&amp;","&amp;E$6&amp;",FY,'BKRACTMED=1,WIN=0,CURRENCY=USD,UNITS=AUTO,DATE=NOW')")</f>
        <v>-</v>
      </c>
      <c r="F75" s="58" t="str" cm="1">
        <f t="array" ref="F75">_xll.FDSRC("-",$A$1,"FE_TIMESERIES("&amp;$D75&amp;",MEAN,"&amp;F$6&amp;","&amp;F$6&amp;",FY,'BKRACTMED=1,WIN=0,CURRENCY=USD,UNITS=AUTO,DATE=NOW')")</f>
        <v>-</v>
      </c>
      <c r="G75" s="58" t="str" cm="1">
        <f t="array" ref="G75">_xll.FDSRC("-",$A$1,"FE_TIMESERIES("&amp;$D75&amp;",MEAN,"&amp;G$6&amp;","&amp;G$6&amp;",FY,'BKRACTMED=1,WIN=0,CURRENCY=USD,UNITS=AUTO,DATE=NOW')")</f>
        <v>-</v>
      </c>
      <c r="H75" s="58" cm="1">
        <f t="array" ref="H75">_xll.FDSRC("-",$A$1,"FE_TIMESERIES("&amp;$D75&amp;",MEAN,"&amp;H$6&amp;","&amp;H$6&amp;",FY,'BKRACTMED=1,WIN=0,CURRENCY=USD,UNITS=AUTO,DATE=NOW')")</f>
        <v>-704.5</v>
      </c>
      <c r="I75" s="58" t="str" cm="1">
        <f t="array" ref="I75">_xll.FDSRC("-",$A$1,"FE_TIMESERIES("&amp;$D75&amp;",MEAN,"&amp;I$6&amp;","&amp;I$6&amp;",FY,'BKRACTMED=1,WIN=0,CURRENCY=USD,UNITS=AUTO,DATE=NOW')")</f>
        <v>-</v>
      </c>
      <c r="J75" s="58" t="str" cm="1">
        <f t="array" ref="J75">_xll.FDSRC("-",$A$1,"FE_TIMESERIES("&amp;$D75&amp;",MEAN,"&amp;J$6&amp;","&amp;J$6&amp;",FY,'BKRACTMED=1,WIN=0,CURRENCY=USD,UNITS=AUTO,DATE=NOW')")</f>
        <v>-</v>
      </c>
      <c r="K75" s="58" t="str" cm="1">
        <f t="array" ref="K75">_xll.FDSRC("-",$A$1,"FE_TIMESERIES("&amp;$D75&amp;",MEAN,"&amp;K$6&amp;","&amp;K$6&amp;",FY,'BKRACTMED=1,WIN=0,CURRENCY=USD,UNITS=AUTO,DATE=NOW')")</f>
        <v>-</v>
      </c>
      <c r="L75" s="58" t="str" cm="1">
        <f t="array" ref="L75">_xll.FDSRC("-",$A$1,"FE_TIMESERIES("&amp;$D75&amp;",MEAN,"&amp;L$6&amp;","&amp;L$6&amp;",FY,'BKRACTMED=1,WIN=0,CURRENCY=USD,UNITS=AUTO,DATE=NOW')")</f>
        <v>-</v>
      </c>
      <c r="M75" s="58" t="str" cm="1">
        <f t="array" ref="M75">_xll.FDSRC("-",$A$1,"FE_TIMESERIES("&amp;$D75&amp;",MEAN,"&amp;M$6&amp;","&amp;M$6&amp;",FY,'BKRACTMED=1,WIN=0,CURRENCY=USD,UNITS=AUTO,DATE=NOW')")</f>
        <v>-</v>
      </c>
      <c r="N75" s="58" t="str" cm="1">
        <f t="array" ref="N75">_xll.FDSRC("-",$A$1,"FE_TIMESERIES("&amp;$D75&amp;",MEAN,"&amp;N$6&amp;","&amp;N$6&amp;",FY,'BKRACTMED=1,WIN=0,CURRENCY=USD,UNITS=AUTO,DATE=NOW')")</f>
        <v>-</v>
      </c>
      <c r="O75" s="58" t="str" cm="1">
        <f t="array" ref="O75">_xll.FDSRC("-",$A$1,"FE_TIMESERIES("&amp;$D75&amp;",MEAN,"&amp;O$6&amp;","&amp;O$6&amp;",FY,'BKRACTMED=1,WIN=0,CURRENCY=USD,UNITS=AUTO,DATE=NOW')")</f>
        <v>-</v>
      </c>
    </row>
    <row r="76" spans="1:15" x14ac:dyDescent="0.15">
      <c r="A76" s="2"/>
    </row>
    <row r="77" spans="1:15" x14ac:dyDescent="0.15">
      <c r="A77" s="41" t="s">
        <v>160</v>
      </c>
    </row>
    <row r="78" spans="1:15" x14ac:dyDescent="0.15">
      <c r="A78" s="2" t="s">
        <v>161</v>
      </c>
      <c r="E78" s="54" t="s">
        <v>240</v>
      </c>
      <c r="F78" s="54" t="s">
        <v>240</v>
      </c>
      <c r="G78" s="54" t="s">
        <v>240</v>
      </c>
      <c r="H78" s="54" t="s">
        <v>240</v>
      </c>
      <c r="I78" s="54" t="s">
        <v>240</v>
      </c>
      <c r="J78" s="54" t="s">
        <v>240</v>
      </c>
      <c r="K78" s="54" t="s">
        <v>240</v>
      </c>
      <c r="L78" s="54" t="s">
        <v>240</v>
      </c>
      <c r="M78" s="54" t="s">
        <v>240</v>
      </c>
      <c r="N78" s="54" t="s">
        <v>240</v>
      </c>
      <c r="O78" s="54" t="s">
        <v>240</v>
      </c>
    </row>
    <row r="79" spans="1:15" x14ac:dyDescent="0.15">
      <c r="A79" s="2" t="s">
        <v>162</v>
      </c>
      <c r="E79" s="54" t="s">
        <v>240</v>
      </c>
      <c r="F79" s="54" t="s">
        <v>240</v>
      </c>
      <c r="G79" s="54" t="s">
        <v>240</v>
      </c>
      <c r="H79" s="54" t="s">
        <v>240</v>
      </c>
      <c r="I79" s="54" t="s">
        <v>240</v>
      </c>
      <c r="J79" s="54" t="s">
        <v>240</v>
      </c>
      <c r="K79" s="54" t="s">
        <v>240</v>
      </c>
      <c r="L79" s="54" t="s">
        <v>240</v>
      </c>
      <c r="M79" s="54" t="s">
        <v>240</v>
      </c>
      <c r="N79" s="54" t="s">
        <v>240</v>
      </c>
      <c r="O79" s="54" t="s">
        <v>240</v>
      </c>
    </row>
    <row r="80" spans="1:15" x14ac:dyDescent="0.15">
      <c r="A80" s="2" t="s">
        <v>163</v>
      </c>
      <c r="D80" t="s">
        <v>164</v>
      </c>
      <c r="E80" s="54" t="str" cm="1">
        <f t="array" ref="E80">_xll.FDSRC("-",$A$1,"FE_TIMESERIES("&amp;$D80&amp;",MEAN,"&amp;E$6&amp;","&amp;E$6&amp;",FY,'BKRACTMED=1,WIN=0,CURRENCY=USD,UNITS=AUTO,DATE=NOW')")</f>
        <v>-</v>
      </c>
      <c r="F80" s="54" t="str" cm="1">
        <f t="array" ref="F80">_xll.FDSRC("-",$A$1,"FE_TIMESERIES("&amp;$D80&amp;",MEAN,"&amp;F$6&amp;","&amp;F$6&amp;",FY,'BKRACTMED=1,WIN=0,CURRENCY=USD,UNITS=AUTO,DATE=NOW')")</f>
        <v>-</v>
      </c>
      <c r="G80" s="54" t="str" cm="1">
        <f t="array" ref="G80">_xll.FDSRC("-",$A$1,"FE_TIMESERIES("&amp;$D80&amp;",MEAN,"&amp;G$6&amp;","&amp;G$6&amp;",FY,'BKRACTMED=1,WIN=0,CURRENCY=USD,UNITS=AUTO,DATE=NOW')")</f>
        <v>-</v>
      </c>
      <c r="H80" s="54" t="str" cm="1">
        <f t="array" ref="H80">_xll.FDSRC("-",$A$1,"FE_TIMESERIES("&amp;$D80&amp;",MEAN,"&amp;H$6&amp;","&amp;H$6&amp;",FY,'BKRACTMED=1,WIN=0,CURRENCY=USD,UNITS=AUTO,DATE=NOW')")</f>
        <v>-</v>
      </c>
      <c r="I80" s="54" t="str" cm="1">
        <f t="array" ref="I80">_xll.FDSRC("-",$A$1,"FE_TIMESERIES("&amp;$D80&amp;",MEAN,"&amp;I$6&amp;","&amp;I$6&amp;",FY,'BKRACTMED=1,WIN=0,CURRENCY=USD,UNITS=AUTO,DATE=NOW')")</f>
        <v>-</v>
      </c>
      <c r="J80" s="54" t="str" cm="1">
        <f t="array" ref="J80">_xll.FDSRC("-",$A$1,"FE_TIMESERIES("&amp;$D80&amp;",MEAN,"&amp;J$6&amp;","&amp;J$6&amp;",FY,'BKRACTMED=1,WIN=0,CURRENCY=USD,UNITS=AUTO,DATE=NOW')")</f>
        <v>-</v>
      </c>
      <c r="K80" s="54" t="str" cm="1">
        <f t="array" ref="K80">_xll.FDSRC("-",$A$1,"FE_TIMESERIES("&amp;$D80&amp;",MEAN,"&amp;K$6&amp;","&amp;K$6&amp;",FY,'BKRACTMED=1,WIN=0,CURRENCY=USD,UNITS=AUTO,DATE=NOW')")</f>
        <v>-</v>
      </c>
      <c r="L80" s="54" t="str" cm="1">
        <f t="array" ref="L80">_xll.FDSRC("-",$A$1,"FE_TIMESERIES("&amp;$D80&amp;",MEAN,"&amp;L$6&amp;","&amp;L$6&amp;",FY,'BKRACTMED=1,WIN=0,CURRENCY=USD,UNITS=AUTO,DATE=NOW')")</f>
        <v>-</v>
      </c>
      <c r="M80" s="54" t="str" cm="1">
        <f t="array" ref="M80">_xll.FDSRC("-",$A$1,"FE_TIMESERIES("&amp;$D80&amp;",MEAN,"&amp;M$6&amp;","&amp;M$6&amp;",FY,'BKRACTMED=1,WIN=0,CURRENCY=USD,UNITS=AUTO,DATE=NOW')")</f>
        <v>-</v>
      </c>
      <c r="N80" s="54" cm="1">
        <f t="array" ref="N80">_xll.FDSRC("-",$A$1,"FE_TIMESERIES("&amp;$D80&amp;",MEAN,"&amp;N$6&amp;","&amp;N$6&amp;",FY,'BKRACTMED=1,WIN=0,CURRENCY=USD,UNITS=AUTO,DATE=NOW')")</f>
        <v>169.11019999999999</v>
      </c>
      <c r="O80" s="54" cm="1">
        <f t="array" ref="O80">_xll.FDSRC("-",$A$1,"FE_TIMESERIES("&amp;$D80&amp;",MEAN,"&amp;O$6&amp;","&amp;O$6&amp;",FY,'BKRACTMED=1,WIN=0,CURRENCY=USD,UNITS=AUTO,DATE=NOW')")</f>
        <v>178.64439999999999</v>
      </c>
    </row>
    <row r="81" spans="1:15" x14ac:dyDescent="0.15">
      <c r="A81" s="2" t="s">
        <v>165</v>
      </c>
      <c r="E81" s="54" t="s">
        <v>240</v>
      </c>
      <c r="F81" s="54" t="s">
        <v>240</v>
      </c>
      <c r="G81" s="54" t="s">
        <v>240</v>
      </c>
      <c r="H81" s="54" t="s">
        <v>240</v>
      </c>
      <c r="I81" s="54" t="s">
        <v>240</v>
      </c>
      <c r="J81" s="54" t="s">
        <v>240</v>
      </c>
      <c r="K81" s="54" t="s">
        <v>240</v>
      </c>
      <c r="L81" s="54" t="s">
        <v>240</v>
      </c>
      <c r="M81" s="54" t="s">
        <v>240</v>
      </c>
      <c r="N81" s="54" t="s">
        <v>240</v>
      </c>
      <c r="O81" s="54" t="s">
        <v>240</v>
      </c>
    </row>
    <row r="82" spans="1:15" x14ac:dyDescent="0.15">
      <c r="A82" s="2" t="s">
        <v>166</v>
      </c>
      <c r="E82" s="54" t="s">
        <v>240</v>
      </c>
      <c r="F82" s="54" t="s">
        <v>240</v>
      </c>
      <c r="G82" s="54" t="s">
        <v>240</v>
      </c>
      <c r="H82" s="54" t="s">
        <v>240</v>
      </c>
      <c r="I82" s="54" t="s">
        <v>240</v>
      </c>
      <c r="J82" s="54" t="s">
        <v>240</v>
      </c>
      <c r="K82" s="54" t="s">
        <v>240</v>
      </c>
      <c r="L82" s="54" t="s">
        <v>240</v>
      </c>
      <c r="M82" s="54" t="s">
        <v>240</v>
      </c>
      <c r="N82" s="54" t="s">
        <v>240</v>
      </c>
      <c r="O82" s="54" t="s">
        <v>240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4248f1-ac4a-4777-9315-70a6ffe9d74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67FCAD2D4D974386D74DE63CCE3B37" ma:contentTypeVersion="14" ma:contentTypeDescription="Create a new document." ma:contentTypeScope="" ma:versionID="3fd3ac821f363c26ddf44ba3d4532190">
  <xsd:schema xmlns:xsd="http://www.w3.org/2001/XMLSchema" xmlns:xs="http://www.w3.org/2001/XMLSchema" xmlns:p="http://schemas.microsoft.com/office/2006/metadata/properties" xmlns:ns3="0f4248f1-ac4a-4777-9315-70a6ffe9d740" xmlns:ns4="85243f50-f44a-44ed-9d41-854901fe9843" targetNamespace="http://schemas.microsoft.com/office/2006/metadata/properties" ma:root="true" ma:fieldsID="b450ef617451cdfe6257b4dd1ec2f41a" ns3:_="" ns4:_="">
    <xsd:import namespace="0f4248f1-ac4a-4777-9315-70a6ffe9d740"/>
    <xsd:import namespace="85243f50-f44a-44ed-9d41-854901fe98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248f1-ac4a-4777-9315-70a6ffe9d7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43f50-f44a-44ed-9d41-854901fe984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FdsFormulaCache xmlns="urn:fdsformulacache" version="2" timestamp="1701155777"><![CDATA[{"UNM^FE_TIMESERIES(FCF,MEAN,0FY,0FY,FY,'BKRACTMED=1,WIN=0,CURRENCY=USD,UNITS=AUTO,DATE=NOW')":178.6444,"UNM^FE_TIMESERIES(FCF,MEAN,-1FY,-1FY,FY,'BKRACTMED=1,WIN=0,CURRENCY=USD,UNITS=AUTO,DATE=NOW')":169.1102,"UNM^FE_TIMESERIES(FCF,MEAN,-2FY,-2FY,FY,'BKRACTMED=1,WIN=0,CURRENCY=USD,UNITS=AUTO,DATE=NOW')":null,"UNM^FE_TIMESERIES(FCF,MEAN,-3FY,-3FY,FY,'BKRACTMED=1,WIN=0,CURRENCY=USD,UNITS=AUTO,DATE=NOW')":null,"UNM^FE_TIMESERIES(FCF,MEAN,-4FY,-4FY,FY,'BKRACTMED=1,WIN=0,CURRENCY=USD,UNITS=AUTO,DATE=NOW')":null,"UNM^FE_TIMESERIES(FCF,MEAN,-5FY,-5FY,FY,'BKRACTMED=1,WIN=0,CURRENCY=USD,UNITS=AUTO,DATE=NOW')":null,"UNM^FE_TIMESERIES(FCF,MEAN,-6FY,-6FY,FY,'BKRACTMED=1,WIN=0,CURRENCY=USD,UNITS=AUTO,DATE=NOW')":null,"UNM^FE_TIMESERIES(FCF,MEAN,-7FY,-7FY,FY,'BKRACTMED=1,WIN=0,CURRENCY=USD,UNITS=AUTO,DATE=NOW')":null,"UNM^FE_TIMESERIES(FCF,MEAN,-8FY,-8FY,FY,'BKRACTMED=1,WIN=0,CURRENCY=USD,UNITS=AUTO,DATE=NOW')":null,"UNM^FE_TIMESERIES(FCF,MEAN,-9FY,-9FY,FY,'BKRACTMED=1,WIN=0,CURRENCY=USD,UNITS=AUTO,DATE=NOW')":null,"UNM^FE_TIMESERIES(FCF,MEAN,-10FY,-10FY,FY,'BKRACTMED=1,WIN=0,CURRENCY=USD,UNITS=AUTO,DATE=NOW')":null,"UNM^FE_TIMESERIES(CFF,MEAN,0FY,0FY,FY,'BKRACTMED=1,WIN=0,CURRENCY=USD,UNITS=AUTO,DATE=NOW')":null,"UNM^FE_TIMESERIES(CFF,MEAN,-1FY,-1FY,FY,'BKRACTMED=1,WIN=0,CURRENCY=USD,UNITS=AUTO,DATE=NOW')":null,"UNM^FE_TIMESERIES(CFF,MEAN,-2FY,-2FY,FY,'BKRACTMED=1,WIN=0,CURRENCY=USD,UNITS=AUTO,DATE=NOW')":null,"UNM^FE_TIMESERIES(CFF,MEAN,-3FY,-3FY,FY,'BKRACTMED=1,WIN=0,CURRENCY=USD,UNITS=AUTO,DATE=NOW')":null,"UNM^FE_TIMESERIES(CFF,MEAN,-4FY,-4FY,FY,'BKRACTMED=1,WIN=0,CURRENCY=USD,UNITS=AUTO,DATE=NOW')":null,"UNM^FE_TIMESERIES(CFF,MEAN,-5FY,-5FY,FY,'BKRACTMED=1,WIN=0,CURRENCY=USD,UNITS=AUTO,DATE=NOW')":null,"UNM^FE_TIMESERIES(CFF,MEAN,-6FY,-6FY,FY,'BKRACTMED=1,WIN=0,CURRENCY=USD,UNITS=AUTO,DATE=NOW')":null,"UNM^FE_TIMESERIES(CFF,MEAN,-7FY,-7FY,FY,'BKRACTMED=1,WIN=0,CURRENCY=USD,UNITS=AUTO,DATE=NOW')":-704.5,"UNM^FE_TIMESERIES(CFF,MEAN,-8FY,-8FY,FY,'BKRACTMED=1,WIN=0,CURRENCY=USD,UNITS=AUTO,DATE=NOW')":null,"UNM^FE_TIMESERIES(CFF,MEAN,-9FY,-9FY,FY,'BKRACTMED=1,WIN=0,CURRENCY=USD,UNITS=AUTO,DATE=NOW')":null,"UNM^FE_TIMESERIES(CFF,MEAN,-10FY,-10FY,FY,'BKRACTMED=1,WIN=0,CURRENCY=USD,UNITS=AUTO,DATE=NOW')":null,"UNM^FE_TIMESERIES(CFI,MEAN,0FY,0FY,FY,'BKRACTMED=1,WIN=0,CURRENCY=USD,UNITS=AUTO,DATE=NOW')":null,"UNM^FE_TIMESERIES(CFI,MEAN,-1FY,-1FY,FY,'BKRACTMED=1,WIN=0,CURRENCY=USD,UNITS=AUTO,DATE=NOW')":null,"UNM^FE_TIMESERIES(CFI,MEAN,-2FY,-2FY,FY,'BKRACTMED=1,WIN=0,CURRENCY=USD,UNITS=AUTO,DATE=NOW')":null,"UNM^FE_TIMESERIES(CFI,MEAN,-3FY,-3FY,FY,'BKRACTMED=1,WIN=0,CURRENCY=USD,UNITS=AUTO,DATE=NOW')":null,"UNM^FE_TIMESERIES(CFI,MEAN,-4FY,-4FY,FY,'BKRACTMED=1,WIN=0,CURRENCY=USD,UNITS=AUTO,DATE=NOW')":null,"UNM^FE_TIMESERIES(CFI,MEAN,-5FY,-5FY,FY,'BKRACTMED=1,WIN=0,CURRENCY=USD,UNITS=AUTO,DATE=NOW')":null,"UNM^FE_TIMESERIES(CFI,MEAN,-6FY,-6FY,FY,'BKRACTMED=1,WIN=0,CURRENCY=USD,UNITS=AUTO,DATE=NOW')":null,"UNM^FE_TIMESERIES(CFI,MEAN,-7FY,-7FY,FY,'BKRACTMED=1,WIN=0,CURRENCY=USD,UNITS=AUTO,DATE=NOW')":null,"UNM^FE_TIMESERIES(CFI,MEAN,-8FY,-8FY,FY,'BKRACTMED=1,WIN=0,CURRENCY=USD,UNITS=AUTO,DATE=NOW')":null,"UNM^FE_TIMESERIES(CFI,MEAN,-9FY,-9FY,FY,'BKRACTMED=1,WIN=0,CURRENCY=USD,UNITS=AUTO,DATE=NOW')":null,"UNM^FE_TIMESERIES(CFI,MEAN,-10FY,-10FY,FY,'BKRACTMED=1,WIN=0,CURRENCY=USD,UNITS=AUTO,DATE=NOW')":null,"UNM^FE_TIMESERIES(CAPEX,MEAN,0FY,0FY,FY,'BKRACTMED=1,WIN=0,CURRENCY=USD,UNITS=AUTO,DATE=NOW')":null,"UNM^FE_TIMESERIES(CAPEX,MEAN,-1FY,-1FY,FY,'BKRACTMED=1,WIN=0,CURRENCY=USD,UNITS=AUTO,DATE=NOW')":null,"UNM^FE_TIMESERIES(CAPEX,MEAN,-2FY,-2FY,FY,'BKRACTMED=1,WIN=0,CURRENCY=USD,UNITS=AUTO,DATE=NOW')":null,"UNM^FE_TIMESERIES(CAPEX,MEAN,-3FY,-3FY,FY,'BKRACTMED=1,WIN=0,CURRENCY=USD,UNITS=AUTO,DATE=NOW')":null,"UNM^FE_TIMESERIES(CAPEX,MEAN,-4FY,-4FY,FY,'BKRACTMED=1,WIN=0,CURRENCY=USD,UNITS=AUTO,DATE=NOW')":null,"UNM^FE_TIMESERIES(CAPEX,MEAN,-5FY,-5FY,FY,'BKRACTMED=1,WIN=0,CURRENCY=USD,UNITS=AUTO,DATE=NOW')":null,"UNM^FE_TIMESERIES(CAPEX,MEAN,-6FY,-6FY,FY,'BKRACTMED=1,WIN=0,CURRENCY=USD,UNITS=AUTO,DATE=NOW')":null,"UNM^FE_TIMESERIES(CAPEX,MEAN,-7FY,-7FY,FY,'BKRACTMED=1,WIN=0,CURRENCY=USD,UNITS=AUTO,DATE=NOW')":null,"UNM^FE_TIMESERIES(CAPEX,MEAN,-8FY,-8FY,FY,'BKRACTMED=1,WIN=0,CURRENCY=USD,UNITS=AUTO,DATE=NOW')":null,"UNM^FE_TIMESERIES(CAPEX,MEAN,-9FY,-9FY,FY,'BKRACTMED=1,WIN=0,CURRENCY=USD,UNITS=AUTO,DATE=NOW')":null,"UNM^FE_TIMESERIES(CAPEX,MEAN,-10FY,-10FY,FY,'BKRACTMED=1,WIN=0,CURRENCY=USD,UNITS=AUTO,DATE=NOW')":null,"UNM^FE_TIMESERIES(CFO,MEAN,0FY,0FY,FY,'BKRACTMED=1,WIN=0,CURRENCY=USD,UNITS=AUTO,DATE=NOW')":2146.75,"UNM^FE_TIMESERIES(CFO,MEAN,-1FY,-1FY,FY,'BKRACTMED=1,WIN=0,CURRENCY=USD,UNITS=AUTO,DATE=NOW')":1702.5,"UNM^FE_TIMESERIES(CFO,MEAN,-2FY,-2FY,FY,'BKRACTMED=1,WIN=0,CURRENCY=USD,UNITS=AUTO,DATE=NOW')":null,"UNM^FE_TIMESERIES(CFO,MEAN,-3FY,-3FY,FY,'BKRACTMED=1,WIN=0,CURRENCY=USD,UNITS=AUTO,DATE=NOW')":null,"UNM^FE_TIMESERIES(CFO,MEAN,-4FY,-4FY,FY,'BKRACTMED=1,WIN=0,CURRENCY=USD,UNITS=AUTO,DATE=NOW')":null,"UNM^FE_TIMESERIES(CFO,MEAN,-5FY,-5FY,FY,'BKRACTMED=1,WIN=0,CURRENCY=USD,UNITS=AUTO,DATE=NOW')":null,"UNM^FE_TIMESERIES(CFO,MEAN,-6FY,-6FY,FY,'BKRACTMED=1,WIN=0,CURRENCY=USD,UNITS=AUTO,DATE=NOW')":null,"UNM^FE_TIMESERIES(CFO,MEAN,-7FY,-7FY,FY,'BKRACTMED=1,WIN=0,CURRENCY=USD,UNITS=AUTO,DATE=NOW')":1456.9,"UNM^FE_TIMESERIES(CFO,MEAN,-8FY,-8FY,FY,'BKRACTMED=1,WIN=0,CURRENCY=USD,UNITS=AUTO,DATE=NOW')":null,"UNM^FE_TIMESERIES(CFO,MEAN,-9FY,-9FY,FY,'BKRACTMED=1,WIN=0,CURRENCY=USD,UNITS=AUTO,DATE=NOW')":null,"UNM^FE_TIMESERIES(CFO,MEAN,-10FY,-10FY,FY,'BKRACTMED=1,WIN=0,CURRENCY=USD,UNITS=AUTO,DATE=NOW')":null,"UNM^FE_TIMESERIES(DEPR_AMORT,MEAN,0FY,0FY,FY,'BKRACTMED=1,WIN=0,CURRENCY=USD,UNITS=AUTO,DATE=NOW')":null,"UNM^FE_TIMESERIES(DEPR_AMORT,MEAN,-1FY,-1FY,FY,'BKRACTMED=1,WIN=0,CURRENCY=USD,UNITS=AUTO,DATE=NOW')":null,"UNM^FE_TIMESERIES(DEPR_AMORT,MEAN,-2FY,-2FY,FY,'BKRACTMED=1,WIN=0,CURRENCY=USD,UNITS=AUTO,DATE=NOW')":null,"UNM^FE_TIMESERIES(DEPR_AMORT,MEAN,-3FY,-3FY,FY,'BKRACTMED=1,WIN=0,CURRENCY=USD,UNITS=AUTO,DATE=NOW')":null,"UNM^FE_TIMESERIES(DEPR_AMORT,MEAN,-4FY,-4FY,FY,'BKRACTMED=1,WIN=0,CURRENCY=USD,UNITS=AUTO,DATE=NOW')":null,"UNM^FE_TIMESERIES(DEPR_AMORT,MEAN,-5FY,-5FY,FY,'BKRACTMED=1,WIN=0,CURRENCY=USD,UNITS=AUTO,DATE=NOW')":null,"UNM^FE_TIMESERIES(DEPR_AMORT,MEAN,-6FY,-6FY,FY,'BKRACTMED=1,WIN=0,CURRENCY=USD,UNITS=AUTO,DATE=NOW')":null,"UNM^FE_TIMESERIES(DEPR_AMORT,MEAN,-7FY,-7FY,FY,'BKRACTMED=1,WIN=0,CURRENCY=USD,UNITS=AUTO,DATE=NOW')":null,"UNM^FE_TIMESERIES(DEPR_AMORT,MEAN,-8FY,-8FY,FY,'BKRACTMED=1,WIN=0,CURRENCY=USD,UNITS=AUTO,DATE=NOW')":null,"UNM^FE_TIMESERIES(DEPR_AMORT,MEAN,-9FY,-9FY,FY,'BKRACTMED=1,WIN=0,CURRENCY=USD,UNITS=AUTO,DATE=NOW')":null,"UNM^FE_TIMESERIES(DEPR_AMORT,MEAN,-10FY,-10FY,FY,'BKRACTMED=1,WIN=0,CURRENCY=USD,UNITS=AUTO,DATE=NOW')":null,"UNM^FE_TIMESERIES(NETPROFIT,MEAN,0FY,0FY,FY,'BKRACTMED=1,WIN=0,CURRENCY=USD,UNITS=AUTO,DATE=NOW')":1254.3,"UNM^FE_TIMESERIES(NETPROFIT,MEAN,-1FY,-1FY,FY,'BKRACTMED=1,WIN=0,CURRENCY=USD,UNITS=AUTO,DATE=NOW')":890.7,"UNM^FE_TIMESERIES(NETPROFIT,MEAN,-2FY,-2FY,FY,'BKRACTMED=1,WIN=0,CURRENCY=USD,UNITS=AUTO,DATE=NOW')":1005.4,"UNM^FE_TIMESERIES(NETPROFIT,MEAN,-3FY,-3FY,FY,'BKRACTMED=1,WIN=0,CURRENCY=USD,UNITS=AUTO,DATE=NOW')":1100.3,"UNM^FE_TIMESERIES(NETPROFIT,MEAN,-4FY,-4FY,FY,'BKRACTMED=1,WIN=0,CURRENCY=USD,UNITS=AUTO,DATE=NOW')":523.4,"UNM^FE_TIMESERIES(NETPROFIT,MEAN,-5FY,-5FY,FY,'BKRACTMED=1,WIN=0,CURRENCY=USD,UNITS=AUTO,DATE=NOW')":994.2,"UNM^FE_TIMESERIES(NETPROFIT,MEAN,-6FY,-6FY,FY,'BKRACTMED=1,WIN=0,CURRENCY=USD,UNITS=AUTO,DATE=NOW')":931.4,"UNM^FE_TIMESERIES(NETPROFIT,MEAN,-7FY,-7FY,FY,'BKRACTMED=1,WIN=0,CURRENCY=USD,UNITS=AUTO,DATE=NOW')":867.1,"UNM^FE_TIMESERIES(NETPROFIT,MEAN,-8FY,-8FY,FY,'BKRACTMED=1,WIN=0,CURRENCY=USD,UNITS=AUTO,DATE=NOW')":413.4,"UNM^FE_TIMESERIES(NETPROFIT,MEAN,-9FY,-9FY,FY,'BKRACTMED=1,WIN=0,CURRENCY=USD,UNITS=AUTO,DATE=NOW')":858.1,"UNM^FE_TIMESERIES(NETPROFIT,MEAN,-10FY,-10FY,FY,'BKRACTMED=1,WIN=0,CURRENCY=USD,UNITS=AUTO,DATE=NOW')":894.4,"UNM^FE_TIMESERIES(SHEQUITY,MEAN,0FY,0FY,FY,'BKRACTMED=1,WIN=0,CURRENCY=USD,UNITS=AUTO,DATE=NOW')":9197.5,"UNM^FE_TIMESERIES(SHEQUITY,MEAN,-1FY,-1FY,FY,'BKRACTMED=1,WIN=0,CURRENCY=USD,UNITS=AUTO,DATE=NOW')":11239.2,"UNM^FE_TIMESERIES(SHEQUITY,MEAN,-2FY,-2FY,FY,'BKRACTMED=1,WIN=0,CURRENCY=USD,UNITS=AUTO,DATE=NOW')":10871.0,"UNM^FE_TIMESERIES(SHEQUITY,MEAN,-3FY,-3FY,FY,'BKRACTMED=1,WIN=0,CURRENCY=USD,UNITS=AUTO,DATE=NOW')":9965.0,"UNM^FE_TIMESERIES(SHEQUITY,MEAN,-4FY,-4FY,FY,'BKRACTMED=1,WIN=0,CURRENCY=USD,UNITS=AUTO,DATE=NOW')":8621.8,"UNM^FE_TIMESERIES(SHEQUITY,MEAN,-5FY,-5FY,FY,'BKRACTMED=1,WIN=0,CURRENCY=USD,UNITS=AUTO,DATE=NOW')":9574.9,"UNM^FE_TIMESERIES(SHEQUITY,MEAN,-6FY,-6FY,FY,'BKRACTMED=1,WIN=0,CURRENCY=USD,UNITS=AUTO,DATE=NOW')":8968.0,"UNM^FE_TIMESERIES(SHEQUITY,MEAN,-7FY,-7FY,FY,'BKRACTMED=1,WIN=0,CURRENCY=USD,UNITS=AUTO,DATE=NOW')":8663.9,"UNM^FE_TIMESERIES(SHEQUITY,MEAN,-8FY,-8FY,FY,'BKRACTMED=1,WIN=0,CURRENCY=USD,UNITS=AUTO,DATE=NOW')":8552.4,"UNM^FE_TIMESERIES(SHEQUITY,MEAN,-9FY,-9FY,FY,'BKRACTMED=1,WIN=0,CURRENCY=USD,UNITS=AUTO,DATE=NOW')":8659.1,"UNM^FE_TIMESERIES(SHEQUITY,MEAN,-10FY,-10FY,FY,'BKRACTMED=1,WIN=0,CURRENCY=USD,UNITS=AUTO,DATE=NOW')":8612.6,"UNM^FE_TIMESERIES(TOTASSET,MEAN,0FY,0FY,FY,'BKRACTMED=1,WIN=0,CURRENCY=USD,UNITS=AUTO,DATE=NOW')":null,"UNM^FE_TIMESERIES(TOTASSET,MEAN,-1FY,-1FY,FY,'BKRACTMED=1,WIN=0,CURRENCY=USD,UNITS=AUTO,DATE=NOW')":null,"UNM^FE_TIMESERIES(TOTASSET,MEAN,-2FY,-2FY,FY,'BKRACTMED=1,WIN=0,CURRENCY=USD,UNITS=AUTO,DATE=NOW')":null,"UNM^FE_TIMESERIES(TOTASSET,MEAN,-3FY,-3FY,FY,'BKRACTMED=1,WIN=0,CURRENCY=USD,UNITS=AUTO,DATE=NOW')":null,"UNM^FE_TIMESERIES(TOTASSET,MEAN,-4FY,-4FY,FY,'BKRACTMED=1,WIN=0,CURRENCY=USD,UNITS=AUTO,DATE=NOW')":null,"UNM^FE_TIMESERIES(TOTASSET,MEAN,-5FY,-5FY,FY,'BKRACTMED=1,WIN=0,CURRENCY=USD,UNITS=AUTO,DATE=NOW')":64013.0,"UNM^FE_TIMESERIES(TOTASSET,MEAN,-6FY,-6FY,FY,'BKRACTMED=1,WIN=0,CURRENCY=USD,UNITS=AUTO,DATE=NOW')":61942.0,"UNM^FE_TIMESERIES(TOTASSET,MEAN,-7FY,-7FY,FY,'BKRACTMED=1,WIN=0,CURRENCY=USD,UNITS=AUTO,DATE=NOW')":60589.7,"UNM^FE_TIMESERIES(TOTASSET,MEAN,-8FY,-8FY,FY,'BKRACTMED=1,WIN=0,CURRENCY=USD,UNITS=AUTO,DATE=NOW')":62497.1,"UNM^FE_TIMESERIES(TOTASSET,MEAN,-9FY,-9FY,FY,'BKRACTMED=1,WIN=0,CURRENCY=USD,UNITS=AUTO,DATE=NOW')":null,"UNM^FE_TIMESERIES(TOTASSET,MEAN,-10FY,-10FY,FY,'BKRACTMED=1,WIN=0,CURRENCY=USD,UNITS=AUTO,DATE=NOW')":null,"UNM^FE_TIMESERIES(CURRENTASSETS,MEAN,0FY,0FY,FY,'BKRACTMED=1,WIN=0,CURRENCY=USD,UNITS=AUTO,DATE=NOW')":null,"UNM^FE_TIMESERIES(CURRENTASSETS,MEAN,-1FY,-1FY,FY,'BKRACTMED=1,WIN=0,CURRENCY=USD,UNITS=AUTO,DATE=NOW')":null,"UNM^FE_TIMESERIES(CURRENTASSETS,MEAN,-2FY,-2FY,FY,'BKRACTMED=1,WIN=0,CURRENCY=USD,UNITS=AUTO,DATE=NOW')":null,"UNM^FE_TIMESERIES(CURRENTASSETS,MEAN,-3FY,-3FY,FY,'BKRACTMED=1,WIN=0,CURRENCY=USD,UNITS=AUTO,DATE=NOW')":null,"UNM^FE_TIMESERIES(CURRENTASSETS,MEAN,-4FY,-4FY,FY,'BKRACTMED=1,WIN=0,CURRENCY=USD,UNITS=AUTO,DATE=NOW')":null,"UNM^FE_TIMESERIES(CURRENTASSETS,MEAN,-5FY,-5FY,FY,'BKRACTMED=1,WIN=0,CURRENCY=USD,UNITS=AUTO,DATE=NOW')":null,"UNM^FE_TIMESERIES(CURRENTASSETS,MEAN,-6FY,-6FY,FY,'BKRACTMED=1,WIN=0,CURRENCY=USD,UNITS=AUTO,DATE=NOW')":null,"UNM^FE_TIMESERIES(CURRENTASSETS,MEAN,-7FY,-7FY,FY,'BKRACTMED=1,WIN=0,CURRENCY=USD,UNITS=AUTO,DATE=NOW')":null,"UNM^FE_TIMESERIES(CURRENTASSETS,MEAN,-8FY,-8FY,FY,'BKRACTMED=1,WIN=0,CURRENCY=USD,UNITS=AUTO,DATE=NOW')":null,"UNM^FE_TIMESERIES(CURRENTASSETS,MEAN,-9FY,-9FY,FY,'BKRACTMED=1,WIN=0,CURRENCY=USD,UNITS=AUTO,DATE=NOW')":null,"UNM^FE_TIMESERIES(CURRENTASSETS,MEAN,-10FY,-10FY,FY,'BKRACTMED=1,WIN=0,CURRENCY=USD,UNITS=AUTO,DATE=NOW')":null,"UNM^FE_TIMESERIES(INVENTORIES,MEAN,0FY,0FY,FY,'BKRACTMED=1,WIN=0,CURRENCY=USD,UNITS=AUTO,DATE=NOW')":null,"UNM^FE_TIMESERIES(INVENTORIES,MEAN,-1FY,-1FY,FY,'BKRACTMED=1,WIN=0,CURRENCY=USD,UNITS=AUTO,DATE=NOW')":null,"UNM^FE_TIMESERIES(INVENTORIES,MEAN,-2FY,-2FY,FY,'BKRACTMED=1,WIN=0,CURRENCY=USD,UNITS=AUTO,DATE=NOW')":null,"UNM^FE_TIMESERIES(INVENTORIES,MEAN,-3FY,-3FY,FY,'BKRACTMED=1,WIN=0,CURRENCY=USD,UNITS=AUTO,DATE=NOW')":null,"UNM^FE_TIMESERIES(INVENTORIES,MEAN,-4FY,-4FY,FY,'BKRACTMED=1,WIN=0,CURRENCY=USD,UNITS=AUTO,DATE=NOW')":null,"UNM^FE_TIMESERIES(INVENTORIES,MEAN,-5FY,-5FY,FY,'BKRACTMED=1,WIN=0,CURRENCY=USD,UNITS=AUTO,DATE=NOW')":null,"UNM^FE_TIMESERIES(INVENTORIES,MEAN,-6FY,-6FY,FY,'BKRACTMED=1,WIN=0,CURRENCY=USD,UNITS=AUTO,DATE=NOW')":null,"UNM^FE_TIMESERIES(INVENTORIES,MEAN,-7FY,-7FY,FY,'BKRACTMED=1,WIN=0,CURRENCY=USD,UNITS=AUTO,DATE=NOW')":null,"UNM^FE_TIMESERIES(INVENTORIES,MEAN,-8FY,-8FY,FY,'BKRACTMED=1,WIN=0,CURRENCY=USD,UNITS=AUTO,DATE=NOW')":null,"UNM^FE_TIMESERIES(INVENTORIES,MEAN,-9FY,-9FY,FY,'BKRACTMED=1,WIN=0,CURRENCY=USD,UNITS=AUTO,DATE=NOW')":null,"UNM^FE_TIMESERIES(INVENTORIES,MEAN,-10FY,-10FY,FY,'BKRACTMED=1,WIN=0,CURRENCY=USD,UNITS=AUTO,DATE=NOW')":null,"UNM^FE_TIMESERIES(RECEIV_NET,MEAN,0FY,0FY,FY,'BKRACTMED=1,WIN=0,CURRENCY=USD,UNITS=AUTO,DATE=NOW')":null,"UNM^FE_TIMESERIES(RECEIV_NET,MEAN,-1FY,-1FY,FY,'BKRACTMED=1,WIN=0,CURRENCY=USD,UNITS=AUTO,DATE=NOW')":null,"UNM^FE_TIMESERIES(RECEIV_NET,MEAN,-2FY,-2FY,FY,'BKRACTMED=1,WIN=0,CURRENCY=USD,UNITS=AUTO,DATE=NOW')":null,"UNM^FE_TIMESERIES(RECEIV_NET,MEAN,-3FY,-3FY,FY,'BKRACTMED=1,WIN=0,CURRENCY=USD,UNITS=AUTO,DATE=NOW')":null,"UNM^FE_TIMESERIES(RECEIV_NET,MEAN,-4FY,-4FY,FY,'BKRACTMED=1,WIN=0,CURRENCY=USD,UNITS=AUTO,DATE=NOW')":null,"UNM^FE_TIMESERIES(RECEIV_NET,MEAN,-5FY,-5FY,FY,'BKRACTMED=1,WIN=0,CURRENCY=USD,UNITS=AUTO,DATE=NOW')":null,"UNM^FE_TIMESERIES(RECEIV_NET,MEAN,-6FY,-6FY,FY,'BKRACTMED=1,WIN=0,CURRENCY=USD,UNITS=AUTO,DATE=NOW')":null,"UNM^FE_TIMESERIES(RECEIV_NET,MEAN,-7FY,-7FY,FY,'BKRACTMED=1,WIN=0,CURRENCY=USD,UNITS=AUTO,DATE=NOW')":null,"UNM^FE_TIMESERIES(RECEIV_NET,MEAN,-8FY,-8FY,FY,'BKRACTMED=1,WIN=0,CURRENCY=USD,UNITS=AUTO,DATE=NOW')":null,"UNM^FE_TIMESERIES(RECEIV_NET,MEAN,-9FY,-9FY,FY,'BKRACTMED=1,WIN=0,CURRENCY=USD,UNITS=AUTO,DATE=NOW')":null,"UNM^FE_TIMESERIES(RECEIV_NET,MEAN,-10FY,-10FY,FY,'BKRACTMED=1,WIN=0,CURRENCY=USD,UNITS=AUTO,DATE=NOW')":null,"UNM^FE_TIMESERIES(CASH_ST,MEAN,0FY,0FY,FY,'BKRACTMED=1,WIN=0,CURRENCY=USD,UNITS=AUTO,DATE=NOW')":null,"UNM^FE_TIMESERIES(CASH_ST,MEAN,-1FY,-1FY,FY,'BKRACTMED=1,WIN=0,CURRENCY=USD,UNITS=AUTO,DATE=NOW')":null,"UNM^FE_TIMESERIES(CASH_ST,MEAN,-2FY,-2FY,FY,'BKRACTMED=1,WIN=0,CURRENCY=USD,UNITS=AUTO,DATE=NOW')":null,"UNM^FE_TIMESERIES(CASH_ST,MEAN,-3FY,-3FY,FY,'BKRACTMED=1,WIN=0,CURRENCY=USD,UNITS=AUTO,DATE=NOW')":null,"UNM^FE_TIMESERIES(CASH_ST,MEAN,-4FY,-4FY,FY,'BKRACTMED=1,WIN=0,CURRENCY=USD,UNITS=AUTO,DATE=NOW')":null,"UNM^FE_TIMESERIES(CASH_ST,MEAN,-5FY,-5FY,FY,'BKRACTMED=1,WIN=0,CURRENCY=USD,UNITS=AUTO,DATE=NOW')":null,"UNM^FE_TIMESERIES(CASH_ST,MEAN,-6FY,-6FY,FY,'BKRACTMED=1,WIN=0,CURRENCY=USD,UNITS=AUTO,DATE=NOW')":null,"UNM^FE_TIMESERIES(CASH_ST,MEAN,-7FY,-7FY,FY,'BKRACTMED=1,WIN=0,CURRENCY=USD,UNITS=AUTO,DATE=NOW')":null,"UNM^FE_TIMESERIES(CASH_ST,MEAN,-8FY,-8FY,FY,'BKRACTMED=1,WIN=0,CURRENCY=USD,UNITS=AUTO,DATE=NOW')":null,"UNM^FE_TIMESERIES(CASH_ST,MEAN,-9FY,-9FY,FY,'BKRACTMED=1,WIN=0,CURRENCY=USD,UNITS=AUTO,DATE=NOW')":null,"UNM^FE_TIMESERIES(CASH_ST,MEAN,-10FY,-10FY,FY,'BKRACTMED=1,WIN=0,CURRENCY=USD,UNITS=AUTO,DATE=NOW')":null,"UNM^FE_TIMESERIES(EPS,MEAN,0FY,0FY,FY,'BKRACTMED=1,WIN=0,CURRENCY=USD,UNITS=AUTO,DATE=NOW')":6.21,"UNM^FE_TIMESERIES(EPS,MEAN,-1FY,-1FY,FY,'BKRACTMED=1,WIN=0,CURRENCY=USD,UNITS=AUTO,DATE=NOW')":4.35,"UNM^FE_TIMESERIES(EPS,MEAN,-2FY,-2FY,FY,'BKRACTMED=1,WIN=0,CURRENCY=USD,UNITS=AUTO,DATE=NOW')":4.93,"UNM^FE_TIMESERIES(EPS,MEAN,-3FY,-3FY,FY,'BKRACTMED=1,WIN=0,CURRENCY=USD,UNITS=AUTO,DATE=NOW')":5.44,"UNM^FE_TIMESERIES(EPS,MEAN,-4FY,-4FY,FY,'BKRACTMED=1,WIN=0,CURRENCY=USD,UNITS=AUTO,DATE=NOW')":5.2,"UNM^FE_TIMESERIES(EPS,MEAN,-5FY,-5FY,FY,'BKRACTMED=1,WIN=0,CURRENCY=USD,UNITS=AUTO,DATE=NOW')":4.29,"UNM^FE_TIMESERIES(EPS,MEAN,-6FY,-6FY,FY,'BKRACTMED=1,WIN=0,CURRENCY=USD,UNITS=AUTO,DATE=NOW')":3.92,"UNM^FE_TIMESERIES(EPS,MEAN,-7FY,-7FY,FY,'BKRACTMED=1,WIN=0,CURRENCY=USD,UNITS=AUTO,DATE=NOW')":3.64,"UNM^FE_TIMESERIES(EPS,MEAN,-8FY,-8FY,FY,'BKRACTMED=1,WIN=0,CURRENCY=USD,UNITS=AUTO,DATE=NOW')":3.55,"UNM^FE_TIMESERIES(EPS,MEAN,-9FY,-9FY,FY,'BKRACTMED=1,WIN=0,CURRENCY=USD,UNITS=AUTO,DATE=NOW')":3.32,"UNM^FE_TIMESERIES(EPS,MEAN,-10FY,-10FY,FY,'BKRACTMED=1,WIN=0,CURRENCY=USD,UNITS=AUTO,DATE=NOW')":3.15,"UNM^FE_TIMESERIES(TAX_EXPENSE,MEAN,0FY,0FY,FY,'BKRACTMED=1,WIN=0,CURRENCY=USD,UNITS=AUTO,DATE=NOW')":302.0,"UNM^FE_TIMESERIES(TAX_EXPENSE,MEAN,-1FY,-1FY,FY,'BKRACTMED=1,WIN=0,CURRENCY=USD,UNITS=AUTO,DATE=NOW')":225.9,"UNM^FE_TIMESERIES(TAX_EXPENSE,MEAN,-2FY,-2FY,FY,'BKRACTMED=1,WIN=0,CURRENCY=USD,UNITS=AUTO,DATE=NOW')":233.45,"UNM^FE_TIMESERIES(TAX_EXPENSE,MEAN,-3FY,-3FY,FY,'BKRACTMED=1,WIN=0,CURRENCY=USD,UNITS=AUTO,DATE=NOW')":284.55,"UNM^FE_TIMESERIES(TAX_EXPENSE,MEAN,-4FY,-4FY,FY,'BKRACTMED=1,WIN=0,CURRENCY=USD,UNITS=AUTO,DATE=NOW')":115.4,"UNM^FE_TIMESERIES(TAX_EXPENSE,MEAN,-5FY,-5FY,FY,'BKRACTMED=1,WIN=0,CURRENCY=USD,UNITS=AUTO,DATE=NOW')":436.8,"UNM^FE_TIMESERIES(TAX_EXPENSE,MEAN,-6FY,-6FY,FY,'BKRACTMED=1,WIN=0,CURRENCY=USD,UNITS=AUTO,DATE=NOW')":413.6,"UNM^FE_TIMESERIES(TAX_EXPENSE,MEAN,-7FY,-7FY,FY,'BKRACTMED=1,WIN=0,CURRENCY=USD,UNITS=AUTO,DATE=NOW')":393.0,"UNM^FE_TIMESERIES(TAX_EXPENSE,MEAN,-8FY,-8FY,FY,'BKRACTMED=1,WIN=0,CURRENCY=USD,UNITS=AUTO,DATE=NOW')":136.3,"UNM^FE_TIMESERIES(TAX_EXPENSE,MEAN,-9FY,-9FY,FY,'BKRACTMED=1,WIN=0,CURRENCY=USD,UNITS=AUTO,DATE=NOW')":355.7,"UNM^FE_TIMESERIES(TAX_EXPENSE,MEAN,-10FY,-10FY,FY,'BKRACTMED=1,WIN=0,CURRENCY=USD,UNITS=AUTO,DATE=NOW')":352.2,"UNM^FE_TIMESERIES(PTP,MEAN,0FY,0FY,FY,'BKRACTMED=1,WIN=0,CURRENCY=USD,UNITS=AUTO,DATE=NOW')":1602.2,"UNM^FE_TIMESERIES(PTP,MEAN,-1FY,-1FY,FY,'BKRACTMED=1,WIN=0,CURRENCY=USD,UNITS=AUTO,DATE=NOW')":1089.45,"UNM^FE_TIMESERIES(PTP,MEAN,-2FY,-2FY,FY,'BKRACTMED=1,WIN=0,CURRENCY=USD,UNITS=AUTO,DATE=NOW')":1278.0,"UNM^FE_TIMESERIES(PTP,MEAN,-3FY,-3FY,FY,'BKRACTMED=1,WIN=0,CURRENCY=USD,UNITS=AUTO,DATE=NOW')":1428.9,"UNM^FE_TIMESERIES(PTP,MEAN,-4FY,-4FY,FY,'BKRACTMED=1,WIN=0,CURRENCY=USD,UNITS=AUTO,DATE=NOW')":667.3,"UNM^FE_TIMESERIES(PTP,MEAN,-5FY,-5FY,FY,'BKRACTMED=1,WIN=0,CURRENCY=USD,UNITS=AUTO,DATE=NOW')":1415.2,"UNM^FE_TIMESERIES(PTP,MEAN,-6FY,-6FY,FY,'BKRACTMED=1,WIN=0,CURRENCY=USD,UNITS=AUTO,DATE=NOW')":1339.8,"UNM^FE_TIMESERIES(PTP,MEAN,-7FY,-7FY,FY,'BKRACTMED=1,WIN=0,CURRENCY=USD,UNITS=AUTO,DATE=NOW')":1294.0,"UNM^FE_TIMESERIES(PTP,MEAN,-8FY,-8FY,FY,'BKRACTMED=1,WIN=0,CURRENCY=USD,UNITS=AUTO,DATE=NOW')":581.1,"UNM^FE_TIMESERIES(PTP,MEAN,-9FY,-9FY,FY,'BKRACTMED=1,WIN=0,CURRENCY=USD,UNITS=AUTO,DATE=NOW')":1231.3,"UNM^FE_TIMESERIES(PTP,MEAN,-10FY,-10FY,FY,'BKRACTMED=1,WIN=0,CURRENCY=USD,UNITS=AUTO,DATE=NOW')":1239.7,"UNM^FE_TIMESERIES(INTEXP,MEAN,0FY,0FY,FY,'BKRACTMED=1,WIN=0,CURRENCY=USD,UNITS=AUTO,DATE=NOW')":204.9,"UNM^FE_TIMESERIES(INTEXP,MEAN,-1FY,-1FY,FY,'BKRACTMED=1,WIN=0,CURRENCY=USD,UNITS=AUTO,DATE=NOW')":198.5,"UNM^FE_TIMESERIES(INTEXP,MEAN,-2FY,-2FY,FY,'BKRACTMED=1,WIN=0,CURRENCY=USD,UNITS=AUTO,DATE=NOW')":185.1,"UNM^FE_TIMESERIES(INTEXP,MEAN,-3FY,-3FY,FY,'BKRACTMED=1,WIN=0,CURRENCY=USD,UNITS=AUTO,DATE=NOW')":172.1,"UNM^FE_TIMESERIES(INTEXP,MEAN,-4FY,-4FY,FY,'BKRACTMED=1,WIN=0,CURRENCY=USD,UNITS=AUTO,DATE=NOW')":160.4,"UNM^FE_TIMESERIES(INTEXP,MEAN,-5FY,-5FY,FY,'BKRACTMED=1,WIN=0,CURRENCY=USD,UNITS=AUTO,DATE=NOW')":153.2,"UNM^FE_TIMESERIES(INTEXP,MEAN,-6FY,-6FY,FY,'BKRACTMED=1,WIN=0,CURRENCY=USD,UNITS=AUTO,DATE=NOW')":159.1,"UNM^FE_TIMESERIES(INTEXP,MEAN,-7FY,-7FY,FY,'BKRACTMED=1,WIN=0,CURRENCY=USD,UNITS=AUTO,DATE=NOW')":160.6,"UNM^FE_TIMESERIES(INTEXP,MEAN,-8FY,-8FY,FY,'BKRACTMED=1,WIN=0,CURRENCY=USD,UNITS=AUTO,DATE=NOW')":149.9,"UNM^FE_TIMESERIES(INTEXP,MEAN,-9FY,-9FY,FY,'BKRACTMED=1,WIN=0,CURRENCY=USD,UNITS=AUTO,DATE=NOW')":145.35,"UNM^FE_TIMESERIES(INTEXP,MEAN,-10FY,-10FY,FY,'BKRACTMED=1,WIN=0,CURRENCY=USD,UNITS=AUTO,DATE=NOW')":139.7,"UNM^FE_TIMESERIES(EBIT,MEAN,0FY,0FY,FY,'BKRACTMED=1,WIN=0,CURRENCY=USD,UNITS=AUTO,DATE=NOW')":1447.0,"UNM^FE_TIMESERIES(EBIT,MEAN,-1FY,-1FY,FY,'BKRACTMED=1,WIN=0,CURRENCY=USD,UNITS=AUTO,DATE=NOW')":986.3,"UNM^FE_TIMESERIES(EBIT,MEAN,-2FY,-2FY,FY,'BKRACTMED=1,WIN=0,CURRENCY=USD,UNITS=AUTO,DATE=NOW')":1005.0,"UNM^FE_TIMESERIES(EBIT,MEAN,-3FY,-3FY,FY,'BKRACTMED=1,WIN=0,CURRENCY=USD,UNITS=AUTO,DATE=NOW')":1425.2,"UNM^FE_TIMESERIES(EBIT,MEAN,-4FY,-4FY,FY,'BKRACTMED=1,WIN=0,CURRENCY=USD,UNITS=AUTO,DATE=NOW')":667.3,"UNM^FE_TIMESERIES(EBIT,MEAN,-5FY,-5FY,FY,'BKRACTMED=1,WIN=0,CURRENCY=USD,UNITS=AUTO,DATE=NOW')":1423.3,"UNM^FE_TIMESERIES(EBIT,MEAN,-6FY,-6FY,FY,'BKRACTMED=1,WIN=0,CURRENCY=USD,UNITS=AUTO,DATE=NOW')":1339.6,"UNM^FE_TIMESERIES(EBIT,MEAN,-7FY,-7FY,FY,'BKRACTMED=1,WIN=0,CURRENCY=USD,UNITS=AUTO,DATE=NOW')":1294.0,"UNM^FE_TIMESERIES(EBIT,MEAN,-8FY,-8FY,FY,'BKRACTMED=1,WIN=0,CURRENCY=USD,UNITS=AUTO,DATE=NOW')":1454.9,"UNM^FE_TIMESERIES(EBIT,MEAN,-9FY,-9FY,FY,'BKRACTMED=1,WIN=0,CURRENCY=USD,UNITS=AUTO,DATE=NOW')":1312.21,"UNM^FE_TIMESERIES(EBIT,MEAN,-10FY,-10FY,FY,'BKRACTMED=1,WIN=0,CURRENCY=USD,UNITS=AUTO,DATE=NOW')":1239.7,"UNM^FE_TIMESERIES(GROSSINCOME,MEAN,0FY,0FY,FY,'BKRACTMED=1,WIN=0,CURRENCY=USD,UNITS=AUTO,DATE=NOW')":null,"UNM^FE_TIMESERIES(GROSSINCOME,MEAN,-1FY,-1FY,FY,'BKRACTMED=1,WIN=0,CURRENCY=USD,UNITS=AUTO,DATE=NOW')":null,"UNM^FE_TIMESERIES(GROSSINCOME,MEAN,-2FY,-2FY,FY,'BKRACTMED=1,WIN=0,CURRENCY=USD,UNITS=AUTO,DATE=NOW')":null,"UNM^FE_TIMESERIES(GROSSINCOME,MEAN,-3FY,-3FY,FY,'BKRACTMED=1,WIN=0,CURRENCY=USD,UNITS=AUTO,DATE=NOW')":null,"UNM^FE_TIMESERIES(GROSSINCOME,MEAN,-4FY,-4FY,FY,'BKRACTMED=1,WIN=0,CURRENCY=USD,UNITS=AUTO,DATE=NOW')":null,"UNM^FE_TIMESERIES(GROSSINCOME,MEAN,-5FY,-5FY,FY,'BKRACTMED=1,WIN=0,CURRENCY=USD,UNITS=AUTO,DATE=NOW')":null,"UNM^FE_TIMESERIES(GROSSINCOME,MEAN,-6FY,-6FY,FY,'BKRACTMED=1,WIN=0,CURRENCY=USD,UNITS=AUTO,DATE=NOW')":null,"UNM^FE_TIMESERIES(GROSSINCOME,MEAN,-7FY,-7FY,FY,'BKRACTMED=1,WIN=0,CURRENCY=USD,UNITS=AUTO,DATE=NOW')":null,"UNM^FE_TIMESERIES(GROSSINCOME,MEAN,-8FY,-8FY,FY,'BKRACTMED=1,WIN=0,CURRENCY=USD,UNITS=AUTO,DATE=NOW')":null,"UNM^FE_TIMESERIES(GROSSINCOME,MEAN,-9FY,-9FY,FY,'BKRACTMED=1,WIN=0,CURRENCY=USD,UNITS=AUTO,DATE=NOW')":null,"UNM^FE_TIMESERIES(GROSSINCOME,MEAN,-10FY,-10FY,FY,'BKRACTMED=1,WIN=0,CURRENCY=USD,UNITS=AUTO,DATE=NOW')":null,"UNM^FE_TIMESERIES(SALES,MEAN,0FY,0FY,FY,'BKRACTMED=1,WIN=0,CURRENCY=USD,UNITS=AUTO,DATE=NOW')":11991.0,"UNM^FE_TIMESERIES(SALES,MEAN,-1FY,-1FY,FY,'BKRACTMED=1,WIN=0,CURRENCY=USD,UNITS=AUTO,DATE=NOW')":12013.8,"UNM^FE_TIMESERIES(SALES,MEAN,-2FY,-2FY,FY,'BKRACTMED=1,WIN=0,CURRENCY=USD,UNITS=AUTO,DATE=NOW')":13162.1,"UNM^FE_TIMESERIES(SALES,MEAN,-3FY,-3FY,FY,'BKRACTMED=1,WIN=0,CURRENCY=USD,UNITS=AUTO,DATE=NOW')":11998.9,"UNM^FE_TIMESERIES(SALES,MEAN,-4FY,-4FY,FY,'BKRACTMED=1,WIN=0,CURRENCY=USD,UNITS=AUTO,DATE=NOW')":11598.5,"UNM^FE_TIMESERIES(SALES,MEAN,-5FY,-5FY,FY,'BKRACTMED=1,WIN=0,CURRENCY=USD,UNITS=AUTO,DATE=NOW')":11286.8,"UNM^FE_TIMESERIES(SALES,MEAN,-6FY,-6FY,FY,'BKRACTMED=1,WIN=0,CURRENCY=USD,UNITS=AUTO,DATE=NOW')":11046.5,"UNM^FE_TIMESERIES(SALES,MEAN,-7FY,-7FY,FY,'BKRACTMED=1,WIN=0,CURRENCY=USD,UNITS=AUTO,DATE=NOW')":10731.3,"UNM^FE_TIMESERIES(SALES,MEAN,-8FY,-8FY,FY,'BKRACTMED=1,WIN=0,CURRENCY=USD,UNITS=AUTO,DATE=NOW')":10509.7,"UNM^FE_TIMESERIES(SALES,MEAN,-9FY,-9FY,FY,'BKRACTMED=1,WIN=0,CURRENCY=USD,UNITS=AUTO,DATE=NOW')":10353.8,"UNM^FE_TIMESERIES(SALES,MEAN,-10FY,-10FY,FY,'BKRACTMED=1,WIN=0,CURRENCY=USD,UNITS=AUTO,DATE=NOW')":10515.4,"UNM^CONVERT_DATE(FF_FISCAL_DATE(ANN_R,0FY,0FY,,,\"\",\"DATEJ\"),\"MM/YYYY\")":"12/2022","UNM^CONVERT_DATE(FF_FISCAL_DATE(ANN_R,-1FY,-1FY,,,\"\",\"DATEJ\"),\"MM/YYYY\")":"12/2021","UNM^CONVERT_DATE(FF_FISCAL_DATE(ANN_R,-2FY,-2FY,,,\"\",\"DATEJ\"),\"MM/YYYY\")":"12/2020","UNM^CONVERT_DATE(FF_FISCAL_DATE(ANN_R,-3FY,-3FY,,,\"\",\"DATEJ\"),\"MM/YYYY\")":"12/2019","UNM^CONVERT_DATE(FF_FISCAL_DATE(ANN_R,-4FY,-4FY,,,\"\",\"DATEJ\"),\"MM/YYYY\")":"12/2018","UNM^CONVERT_DATE(FF_FISCAL_DATE(ANN_R,-5FY,-5FY,,,\"\",\"DATEJ\"),\"MM/YYYY\")":"12/2017","UNM^CONVERT_DATE(FF_FISCAL_DATE(ANN_R,-6FY,-6FY,,,\"\",\"DATEJ\"),\"MM/YYYY\")":"12/2016","UNM^CONVERT_DATE(FF_FISCAL_DATE(ANN_R,-7FY,-7FY,,,\"\",\"DATEJ\"),\"MM/YYYY\")":"12/2015","UNM^CONVERT_DATE(FF_FISCAL_DATE(ANN_R,-8FY,-8FY,,,\"\",\"DATEJ\"),\"MM/YYYY\")":"12/2014","UNM^CONVERT_DATE(FF_FISCAL_DATE(ANN_R,-9FY,-9FY,,,\"\",\"DATEJ\"),\"MM/YYYY\")":"12/2013","UNM^CONVERT_DATE(FF_FISCAL_DATE(ANN_R,-10FY,-10FY,,,\"\",\"DATEJ\"),\"MM/YYYY\")":"12/2012","UNM^FE_TIMESERIES(TOTALDEBT,MEAN,0FY,0FY,FY,'BKRACTMED=1,WIN=0,CURRENCY=USD,UNITS=AUTO,DATE=NOW')":null,"UNM^FE_TIMESERIES(TOTALDEBT,MEAN,-1FY,-1FY,FY,'BKRACTMED=1,WIN=0,CURRENCY=USD,UNITS=AUTO,DATE=NOW')":null,"UNM^FE_TIMESERIES(TOTALDEBT,MEAN,-2FY,-2FY,FY,'BKRACTMED=1,WIN=0,CURRENCY=USD,UNITS=AUTO,DATE=NOW')":null,"UNM^FE_TIMESERIES(TOTALDEBT,MEAN,-3FY,-3FY,FY,'BKRACTMED=1,WIN=0,CURRENCY=USD,UNITS=AUTO,DATE=NOW')":null,"UNM^FE_TIMESERIES(TOTALDEBT,MEAN,-4FY,-4FY,FY,'BKRACTMED=1,WIN=0,CURRENCY=USD,UNITS=AUTO,DATE=NOW')":null,"UNM^FE_TIMESERIES(TOTALDEBT,MEAN,-5FY,-5FY,FY,'BKRACTMED=1,WIN=0,CURRENCY=USD,UNITS=AUTO,DATE=NOW')":null,"UNM^FE_TIMESERIES(TOTALDEBT,MEAN,-6FY,-6FY,FY,'BKRACTMED=1,WIN=0,CURRENCY=USD,UNITS=AUTO,DATE=NOW')":2999.0,"UNM^FE_TIMESERIES(TOTALDEBT,MEAN,-7FY,-7FY,FY,'BKRACTMED=1,WIN=0,CURRENCY=USD,UNITS=AUTO,DATE=NOW')":2827.5,"UNM^FE_TIMESERIES(TOTALDEBT,MEAN,-8FY,-8FY,FY,'BKRACTMED=1,WIN=0,CURRENCY=USD,UNITS=AUTO,DATE=NOW')":2505.45,"UNM^FE_TIMESERIES(TOTALDEBT,MEAN,-9FY,-9FY,FY,'BKRACTMED=1,WIN=0,CURRENCY=USD,UNITS=AUTO,DATE=NOW')":2430.25,"UNM^FE_TIMESERIES(TOTALDEBT,MEAN,-10FY,-10FY,FY,'BKRACTMED=1,WIN=0,CURRENCY=USD,UNITS=AUTO,DATE=NOW')":2882.5,"UNM^FE_TIMESERIES(DEBT_LT,MEAN,0FY,0FY,FY,'BKRACTMED=1,WIN=0,CURRENCY=USD,UNITS=AUTO,DATE=NOW')":null,"UNM^FE_TIMESERIES(DEBT_LT,MEAN,-1FY,-1FY,FY,'BKRACTMED=1,WIN=0,CURRENCY=USD,UNITS=AUTO,DATE=NOW')":null,"UNM^FE_TIMESERIES(DEBT_LT,MEAN,-2FY,-2FY,FY,'BKRACTMED=1,WIN=0,CURRENCY=USD,UNITS=AUTO,DATE=NOW')":null,"UNM^FE_TIMESERIES(DEBT_LT,MEAN,-3FY,-3FY,FY,'BKRACTMED=1,WIN=0,CURRENCY=USD,UNITS=AUTO,DATE=NOW')":null,"UNM^FE_TIMESERIES(DEBT_LT,MEAN,-4FY,-4FY,FY,'BKRACTMED=1,WIN=0,CURRENCY=USD,UNITS=AUTO,DATE=NOW')":null,"UNM^FE_TIMESERIES(DEBT_LT,MEAN,-5FY,-5FY,FY,'BKRACTMED=1,WIN=0,CURRENCY=USD,UNITS=AUTO,DATE=NOW')":null,"UNM^FE_TIMESERIES(DEBT_LT,MEAN,-6FY,-6FY,FY,'BKRACTMED=1,WIN=0,CURRENCY=USD,UNITS=AUTO,DATE=NOW')":null,"UNM^FE_TIMESERIES(DEBT_LT,MEAN,-7FY,-7FY,FY,'BKRACTMED=1,WIN=0,CURRENCY=USD,UNITS=AUTO,DATE=NOW')":null,"UNM^FE_TIMESERIES(DEBT_LT,MEAN,-8FY,-8FY,FY,'BKRACTMED=1,WIN=0,CURRENCY=USD,UNITS=AUTO,DATE=NOW')":null,"UNM^FE_TIMESERIES(DEBT_LT,MEAN,-9FY,-9FY,FY,'BKRACTMED=1,WIN=0,CURRENCY=USD,UNITS=AUTO,DATE=NOW')":null,"UNM^FE_TIMESERIES(DEBT_LT,MEAN,-10FY,-10FY,FY,'BKRACTMED=1,WIN=0,CURRENCY=USD,UNITS=AUTO,DATE=NOW')":null,"UNM^FE_TIMESERIES(DEBT_ST,MEAN,0FY,0FY,FY,'BKRACTMED=1,WIN=0,CURRENCY=USD,UNITS=AUTO,DATE=NOW')":null,"UNM^FE_TIMESERIES(DEBT_ST,MEAN,-1FY,-1FY,FY,'BKRACTMED=1,WIN=0,CURRENCY=USD,UNITS=AUTO,DATE=NOW')":null,"UNM^FE_TIMESERIES(DEBT_ST,MEAN,-2FY,-2FY,FY,'BKRACTMED=1,WIN=0,CURRENCY=USD,UNITS=AUTO,DATE=NOW')":null,"UNM^FE_TIMESERIES(DEBT_ST,MEAN,-3FY,-3FY,FY,'BKRACTMED=1,WIN=0,CURRENCY=USD,UNITS=AUTO,DATE=NOW')":null,"UNM^FE_TIMESERIES(DEBT_ST,MEAN,-4FY,-4FY,FY,'BKRACTMED=1,WIN=0,CURRENCY=USD,UNITS=AUTO,DATE=NOW')":null,"UNM^FE_TIMESERIES(DEBT_ST,MEAN,-5FY,-5FY,FY,'BKRACTMED=1,WIN=0,CURRENCY=USD,UNITS=AUTO,DATE=NOW')":null,"UNM^FE_TIMESERIES(DEBT_ST,MEAN,-6FY,-6FY,FY,'BKRACTMED=1,WIN=0,CURRENCY=USD,UNITS=AUTO,DATE=NOW')":null,"UNM^FE_TIMESERIES(DEBT_ST,MEAN,-7FY,-7FY,FY,'BKRACTMED=1,WIN=0,CURRENCY=USD,UNITS=AUTO,DATE=NOW')":null,"UNM^FE_TIMESERIES(DEBT_ST,MEAN,-8FY,-8FY,FY,'BKRACTMED=1,WIN=0,CURRENCY=USD,UNITS=AUTO,DATE=NOW')":null,"UNM^FE_TIMESERIES(DEBT_ST,MEAN,-9FY,-9FY,FY,'BKRACTMED=1,WIN=0,CURRENCY=USD,UNITS=AUTO,DATE=NOW')":null,"UNM^FE_TIMESERIES(DEBT_ST,MEAN,-10FY,-10FY,FY,'BKRACTMED=1,WIN=0,CURRENCY=USD,UNITS=AUTO,DATE=NOW')":null,"UNM^FE_TIMESERIES(CURRENTLIABILITIES,MEAN,0FY,0FY,FY,'BKRACTMED=1,WIN=0,CURRENCY=USD,UNITS=AUTO,DATE=NOW')":null,"UNM^FE_TIMESERIES(CURRENTLIABILITIES,MEAN,-1FY,-1FY,FY,'BKRACTMED=1,WIN=0,CURRENCY=USD,UNITS=AUTO,DATE=NOW')":null,"UNM^FE_TIMESERIES(CURRENTLIABILITIES,MEAN,-2FY,-2FY,FY,'BKRACTMED=1,WIN=0,CURRENCY=USD,UNITS=AUTO,DATE=NOW')":null,"UNM^FE_TIMESERIES(CURRENTLIABILITIES,MEAN,-3FY,-3FY,FY,'BKRACTMED=1,WIN=0,CURRENCY=USD,UNITS=AUTO,DATE=NOW')":null,"UNM^FE_TIMESERIES(CURRENTLIABILITIES,MEAN,-4FY,-4FY,FY,'BKRACTMED=1,WIN=0,CURRENCY=USD,UNITS=AUTO,DATE=NOW')":null,"UNM^FE_TIMESERIES(CURRENTLIABILITIES,MEAN,-5FY,-5FY,FY,'BKRACTMED=1,WIN=0,CURRENCY=USD,UNITS=AUTO,DATE=NOW')":null,"UNM^FE_TIMESERIES(CURRENTLIABILITIES,MEAN,-6FY,-6FY,FY,'BKRACTMED=1,WIN=0,CURRENCY=USD,UNITS=AUTO,DATE=NOW')":null,"UNM^FE_TIMESERIES(CURRENTLIABILITIES,MEAN,-7FY,-7FY,FY,'BKRACTMED=1,WIN=0,CURRENCY=USD,UNITS=AUTO,DATE=NOW')":null,"UNM^FE_TIMESERIES(CURRENTLIABILITIES,MEAN,-8FY,-8FY,FY,'BKRACTMED=1,WIN=0,CURRENCY=USD,UNITS=AUTO,DATE=NOW')":null,"UNM^FE_TIMESERIES(CURRENTLIABILITIES,MEAN,-9FY,-9FY,FY,'BKRACTMED=1,WIN=0,CURRENCY=USD,UNITS=AUTO,DATE=NOW')":null,"UNM^FE_TIMESERIES(CURRENTLIABILITIES,MEAN,-10FY,-10FY,FY,'BKRACTMED=1,WIN=0,CURRENCY=USD,UNITS=AUTO,DATE=NOW')":null,"UNM^FE_TIMESERIES(PAY_ACCT,MEAN,0FY,0FY,FY,'BKRACTMED=1,WIN=0,CURRENCY=USD,UNITS=AUTO,DATE=NOW')":null,"UNM^FE_TIMESERIES(PAY_ACCT,MEAN,-1FY,-1FY,FY,'BKRACTMED=1,WIN=0,CURRENCY=USD,UNITS=AUTO,DATE=NOW')":null,"UNM^FE_TIMESERIES(PAY_ACCT,MEAN,-2FY,-2FY,FY,'BKRACTMED=1,WIN=0,CURRENCY=USD,UNITS=AUTO,DATE=NOW')":null,"UNM^FE_TIMESERIES(PAY_ACCT,MEAN,-3FY,-3FY,FY,'BKRACTMED=1,WIN=0,CURRENCY=USD,UNITS=AUTO,DATE=NOW')":null,"UNM^FE_TIMESERIES(PAY_ACCT,MEAN,-4FY,-4FY,FY,'BKRACTMED=1,WIN=0,CURRENCY=USD,UNITS=AUTO,DATE=NOW')":null,"UNM^FE_TIMESERIES(PAY_ACCT,MEAN,-5FY,-5FY,FY,'BKRACTMED=1,WIN=0,CURRENCY=USD,UNITS=AUTO,DATE=NOW')":null,"UNM^FE_TIMESERIES(PAY_ACCT,MEAN,-6FY,-6FY,FY,'BKRACTMED=1,WIN=0,CURRENCY=USD,UNITS=AUTO,DATE=NOW')":null,"UNM^FE_TIMESERIES(PAY_ACCT,MEAN,-7FY,-7FY,FY,'BKRACTMED=1,WIN=0,CURRENCY=USD,UNITS=AUTO,DATE=NOW')":null,"UNM^FE_TIMESERIES(PAY_ACCT,MEAN,-8FY,-8FY,FY,'BKRACTMED=1,WIN=0,CURRENCY=USD,UNITS=AUTO,DATE=NOW')":null,"UNM^FE_TIMESERIES(PAY_ACCT,MEAN,-9FY,-9FY,FY,'BKRACTMED=1,WIN=0,CURRENCY=USD,UNITS=AUTO,DATE=NOW')":null,"UNM^FE_TIMESERIES(PAY_ACCT,MEAN,-10FY,-10FY,FY,'BKRACTMED=1,WIN=0,CURRENCY=USD,UNITS=AUTO,DATE=NOW')":null,"HCI^P_PRICE(0)":87.41,"UNM^FE_ESTIMATE(EPS,MEAN,STMA,,NOW,,,'')":8.475111,"HCI^FE_ESTIMATE(EPS,MEAN,STMA,,NOW,,,'')":5.613629,"HCI^FE_ESTIMATE(EPS,MEAN,NTMA,,NOW,,,'')":6.7611356,"SP50^FG_PE_NTM(0,,,90,0)":18.8519610623344,"HCI-US^FE_ESTIMATE(EPS,MEAN,NTMA,,NOW,,,'')":6.7611356,"UNM^P_PRICE(0)":43.17,"HCI^FG_COMPANY_NAME":"HCI Group, Inc.","UNM^FE_ESTIMATE(SALES,MEAN,ANN_ROLL,+2,NOW,,,'')":12847.194,"UNM^FF_PRICE_LOW_52WK":36.27,"UNM^FE_ESTIMATE(EPS,MEAN,NTMA,,NOW,,,'')":7.8180456,"UNM^FREF_MARKET_VALUE_COMPANY(0,,,,,0,,\"LEGACY\")":8420.11988013494,"UNM^OS_SEC_SI_PCTFLT(0D)":1.35352999263646,"UNM^FE_ESTIMATE(SALES,MEAN,ANN_ROLL,+1,NOW,,,'')":12400.306,"UNM^P_DIV_YLD":3.3819783,"UNM^FF_INSID_PCT_CURR":0.007914,"UNM^FF_PRICE_HIGH_52WK":52.15,"UNM^FF_ENTRPR_VAL_DAILY(0,,,,,\"DIL\")":11776.079806,"UNM^FF_ROIC(ANN_R,0)":9.52539719355213,"UNM^FF_ROE(ANN_R,0)":12.7506197274654,"UNM^FF_ROA(ANN_R,0)":2.38013307881497,"UNM^FF_FREE_CF(LTM_R,0,,,,LOCAL)@FF_FREE_CF(LTM_SEMI_R,0,,,,LOCAL)":824.2,"UNM^FF_CHG_CASH_CF(LTM_R,0,,,,LOCAL)@FF_CHG_CASH_CF(LTM_SEMI_R,0,,,,LOCAL)":22.6,"UNM^FF_FOR_EXCH_CF(LTM_R,0,,,,LOCAL)@FF_FOR_EXCH_CF(LTM_SEMI_R,0,,,,LOCAL)":null,"UNM^FF_FIN_CF(LTM_R,0,,,,LOCAL)@FF_FIN_CF(LTM_SEMI_R,0,,,,LOCAL)":-430.3,"UNM^FF_DIV_COM_CF(LTM_R,0,,,,LOCAL)@FF_DIV_COM_CF(LTM_SEMI_R,0,,,,LOCAL)":271.5,"UNM^FF_INVEST_CF(LTM_R,0,,,,LOCAL)@FF_INVEST_CF(LTM_SEMI_R,0,,,,LOCAL)":-763.3,"UNM^FF_CAPEX_FIX(LTM_R,0,,,,LOCAL)@FF_CAPEX_FIX(LTM_SEMI_R,0,,,,LOCAL)":120.5,"UNM^FF_OPER_CF(LTM_R,0,,,,LOCAL)@FF_OPER_CF(LTM_SEMI_R,0,,,,LOCAL)":1216.2,"UNM^FF_FUNDS_OPER_GROSS(LTM_R,0,,,,LOCAL)@FF_FUNDS_OPER_GROSS(LTM_SEMI_R,0,,,,LOCAL)":1122.2,"UNM^FE_ESTIMATE(FCF,MEDIAN,ANNUAL_ROLL,+3,0,,,'CURRENCY=LOCAL')":null,"UNM^FE_ESTIMATE(FCF,MEDIAN,ANNUAL_ROLL,+2,0,,,'CURRENCY=LOCAL')":201.133,"UNM^FE_ESTIMATE(FCF,MEDIAN,ANNUAL_ROLL,+1,0,,,'CURRENCY=LOCAL')":193.2125,"UNM^FE_ESTIMATE(CF_FIN,MEDIAN,ANNUAL_ROLL,+3,0,,,'CURRENCY=LOCAL')":null,"UNM^FE_ESTIMATE(CF_FIN,MEDIAN,ANNUAL_ROLL,+2,0,,,'CURRENCY=LOCAL')":null,"UNM^FE_ESTIMATE(CF_FIN,MEDIAN,ANNUAL_ROLL,+1,0,,,'CURRENCY=LOCAL')":null,"UNM^FE_ESTIMATE(CF_INV,MEDIAN,ANNUAL_ROLL,+3,0,,,'CURRENCY=LOCAL')":null,"UNM^FE_ESTIMATE(CF_INV,MEDIAN,ANNUAL_ROLL,+2,0,,,'CURRENCY=LOCAL')":null,"UNM^FE_ESTIMATE(CF_INV,MEDIAN,ANNUAL_ROLL,+1,0,,,'CURRENCY=LOCAL')":null,"UNM^FE_ESTIMATE(CAPEX,MEDIAN,ANNUAL_ROLL,+3,0,,,'CURRENCY=LOCAL')":null,"UNM^FE_ESTIMATE(CAPEX,MEDIAN,ANNUAL_ROLL,+2,0,,,'CURRENCY=LOCAL')":null,"UNM^FE_ESTIMATE(CAPEX,MEDIAN,ANNUAL_ROLL,+1,0,,,'CURRENCY=LOCAL')":null,"UNM^FE_ESTIMATE(CF_OP,MEDIAN,ANNUAL_ROLL,+3,0,,,'CURRENCY=LOCAL')":null,"UNM^FE_ESTIMATE(CF_OP,MEDIAN,ANNUAL_ROLL,+2,0,,,'CURRENCY=LOCAL')":null,"UNM^FE_ESTIMATE(CF_OP,MEDIAN,ANNUAL_ROLL,+1,0,,,'CURRENCY=LOCAL')":null,"UNM^FE_ESTIMATE(FFO,MEDIAN,ANNUAL_ROLL,+3,0,,,'CURRENCY=LOCAL')":null,"UNM^FE_ESTIMATE(FFO,MEDIAN,ANNUAL_ROLL,+2,0,,,'CURRENCY=LOCAL')":null,"UNM^FE_ESTIMATE(FFO,MEDIAN,ANNUAL_ROLL,+1,0,,,'CURRENCY=LOCAL')":null,"UNM^FE_ESTIMATE(SHLDRS_EQ,MEDIAN,ANNUAL_ROLL,+3,0,,,'CURRENCY=LOCAL')":11566.0,"UNM^FE_ESTIMATE(SHLDRS_EQ,MEDIAN,ANNUAL_ROLL,+2,0,,,'CURRENCY=LOCAL')":11071.2,"UNM^FE_ESTIMATE(SHLDRS_EQ,MEDIAN,ANNUAL_ROLL,+1,0,,,'CURRENCY=LOCAL')":10837.2,"UNM^FE_ESTIMATE(DEBT,MEDIAN,ANNUAL_ROLL,+3,0,,,'CURRENCY=LOCAL')":null,"UNM^FE_ESTIMATE(DEBT,MEDIAN,ANNUAL_ROLL,+2,0,,,'CURRENCY=LOCAL')":null,"UNM^FE_ESTIMATE(DEBT,MEDIAN,ANNUAL_ROLL,+1,0,,,'CURRENCY=LOCAL')":null,"UNM^FE_ESTIMATE(CURRENT_LIABILITIES,MEDIAN,ANNUAL_ROLL,+3,0,,,'CURRENCY=LOCAL')":null,"UNM^FE_ESTIMATE(CURRENT_LIABILITIES,MEDIAN,ANNUAL_ROLL,+2,0,,,'CURRENCY=LOCAL')":null,"UNM^FE_ESTIMATE(CURRENT_LIABILITIES,MEDIAN,ANNUAL_ROLL,+1,0,,,'CURRENCY=LOCAL')":null,"UNM^FE_ESTIMATE(INVENTORIES,MEDIAN,ANNUAL_ROLL,+3,0,,,'CURRENCY=LOCAL')":null,"UNM^FE_ESTIMATE(INVENTORIES,MEDIAN,ANNUAL_ROLL,+2,0,,,'CURRENCY=LOCAL')":null,"UNM^FE_ESTIMATE(INVENTORIES,MEDIAN,ANNUAL_ROLL,+1,0,,,'CURRENCY=LOCAL')":null,"UNM^FE_ESTIMATE(NET_INC,MEDIAN,ANNUAL_ROLL,+3,0,,,'CURRENCY=LOCAL')":1539.3,"UNM^FE_ESTIMATE(NET_INC,CURRENCY,ANNUAL_ROLL,+1,0,,,'CURRENCY=LOCAL')":"#NUM","UNM^FE_ESTIMATE(NET_INC,MEDIAN,ANNUAL_ROLL,+1,0,,,'CURRENCY=LOCAL')":1516.0,"UNM^FE_ESTIMATE(TAX_EXPENSE,MEDIAN,ANNUAL_ROLL,+3,0,,,'CURRENCY=LOCAL')":415.35,"UNM^FE_ESTIMATE(TAX_EXPENSE,MEDIAN,ANNUAL_ROLL,+2,0,,,'CURRENCY=LOCAL')":398.55,"UNM^FE_ESTIMATE(TAX_EXPENSE,MEDIAN,ANNUAL_ROLL,+1,0,,,'CURRENCY=LOCAL')":411.2,"UNM^FE_ESTIMATE(PTX_INC,MEDIAN,ANNUAL_ROLL,+3,0,,,'CURRENCY=LOCAL')":1956.1,"UNM^FE_ESTIMATE(PTX_INC,MEDIAN,ANNUAL_ROLL,+2,0,,,'CURRENCY=LOCAL')":1891.4824,"UNM^FE_ESTIMATE(PTX_INC,MEDIAN,ANNUAL_ROLL,+1,0,,,'CURRENCY=LOCAL')":1933.7,"UNM^FE_ESTIMATE(INT_EXP,MEDIAN,ANNUAL_ROLL,+3,0,,,'CURRENCY=LOCAL')":269.0,"UNM^FE_ESTIMATE(INT_EXP,MEDIAN,ANNUAL_ROLL,+2,0,,,'CURRENCY=LOCAL')":200.0,"UNM^FE_ESTIMATE(INT_EXP,MEDIAN,ANNUAL_ROLL,+1,0,,,'CURRENCY=LOCAL')":245.3,"UNM^FE_ESTIMATE(EBIT,MEDIAN,ANNUAL_ROLL,+3,0,,,'CURRENCY=LOCAL')":1931.698,"UNM^FE_ESTIMATE(EBIT,MEDIAN,ANNUAL_ROLL,+2,0,,,'CURRENCY=LOCAL')":1892.9899,"UNM^FE_ESTIMATE(EBIT,MEDIAN,ANNUAL_ROLL,+1,0,,,'CURRENCY=LOCAL')":1779.7343,"UNM^FE_ESTIMATE(SALES,MEDIAN,ANNUAL_ROLL,+3,0,,,'CURRENCY=LOCAL')":13270.742,"UNM^FE_ESTIMATE(SALES,MEDIAN,ANNUAL_ROLL,+2,0,,,'CURRENCY=LOCAL')":12843.693,"UNM^FE_ESTIMATE(SALES,MEDIAN,ANNUAL_ROLL,+1,0,,,'CURRENCY=LOCAL')":12409.292,"UNM^FE_ACTUAL_DATE(FISCALPERIODEND,,ANNUAL,3,'MM/YYYY')":"12/2025","UNM^FE_ACTUAL_DATE(FISCALPERIODEND,,ANNUAL,2,'MM/YYYY')":"12/2024","UNM^FE_ACTUAL_DATE(FISCALPERIODEND,,ANNUAL,1,'MM/YYYY')":"12/2023","UNM^FF_SALES(,12/2012,,,,LOCAL)":10515.4,"UNM^FF_SALES(,12/2013,,,,LOCAL)":10353.8,"UNM^FF_SALES(,12/2014,,,,LOCAL)":10524.5,"UNM^FF_SALES(,12/2015,,,,LOCAL)":10731.3,"UNM^FF_SALES(,12/2016,,,,LOCAL)":11046.5,"UNM^FF_SALES(,12/2017,,,,LOCAL)":11286.8,"UNM^FF_SALES(,12/2018,,,,LOCAL)":11598.5,"UNM^FF_SALES(,12/2019,,,,LOCAL)":11998.9,"UNM^FF_SALES(,12/2020,,,,LOCAL)":13162.1,"UNM^FF_SALES(,12/2021,,,,LOCAL)":12013.8,"UNM^FF_SALES(,12/2022,,,,LOCAL)":11972.1,"UNM^FF_COGS(,12/2012,,,,LOCAL)":null,"UNM^FF_COGS(,12/2013,,,,LOCAL)":null,"UNM^FF_COGS(,12/2014,,,,LOCAL)":null,"UNM^FF_COGS(,12/2015,,,,LOCAL)":null,"UNM^FF_COGS(,12/2016,,,,LOCAL)":null,"UNM^FF_COGS(,12/2017,,,,LOCAL)":null,"UNM^FF_COGS(,12/2018,,,,LOCAL)":null,"UNM^FF_COGS(,12/2019,,,,LOCAL)":null,"UNM^FF_COGS(,12/2020,,,,LOCAL)":null,"UNM^FF_COGS(,12/2021,,,,LOCAL)":null,"UNM^FF_COGS(,12/2022,,,,LOCAL)":null,"UNM^FF_GROSS_INC(,12/2012,,,,LOCAL)":null,"UNM^FF_GROSS_INC(,12/2013,,,,LOCAL)":null,"UNM^FF_GROSS_INC(,12/2014,,,,LOCAL)":null,"UNM^FF_GROSS_INC(,12/2015,,,,LOCAL)":null,"UNM^FF_GROSS_INC(,12/2016,,,,LOCAL)":null,"UNM^FF_GROSS_INC(,12/2017,,,,LOCAL)":null,"UNM^FF_GROSS_INC(,12/2018,,,,LOCAL)":null,"UNM^FF_GROSS_INC(,12/2019,,,,LOCAL)":null,"UNM^FF_GROSS_INC(,12/2020,,,,LOCAL)":null,"UNM^FF_GROSS_INC(,12/2021,,,,LOCAL)":null,"UNM^FF_GROSS_INC(,12/2022,,,,LOCAL)":null,"UNM^FF_EBIT_OPER(,12/2012,,,,LOCAL)":null,"UNM^FF_EBIT_OPER(,12/2013,,,,LOCAL)":null,"UNM^FF_EBIT_OPER(,12/2014,,,,LOCAL)":null,"UNM^FF_EBIT_OPER(,12/2015,,,,LOCAL)":null,"UNM^FF_EBIT_OPER(,12/2016,,,,LOCAL)":null,"UNM^FF_EBIT_OPER(,12/2017,,,,LOCAL)":null,"UNM^FF_EBIT_OPER(,12/2018,,,,LOCAL)":null,"UNM^FF_EBIT_OPER(,12/2019,,,,LOCAL)":null,"UNM^FF_EBIT_OPER(,12/2020,,,,LOCAL)":null,"UNM^FF_EBIT_OPER(,12/2021,,,,LOCAL)":null,"UNM^FF_EBIT_OPER(,12/2022,,,,LOCAL)":null,"UNM^FF_INT_EXP_NET(,12/2012,,,,LOCAL)":145.4,"UNM^FF_INT_EXP_NET(,12/2013,,,,LOCAL)":149.4,"UNM^FF_INT_EXP_NET(,12/2014,,,,LOCAL)":167.5,"UNM^FF_INT_EXP_NET(,12/2015,,,,LOCAL)":152.8,"UNM^FF_INT_EXP_NET(,12/2016,,,,LOCAL)":166.0,"UNM^FF_INT_EXP_NET(,12/2017,,,,LOCAL)":159.9,"UNM^FF_INT_EXP_NET(,12/2018,,,,LOCAL)":167.3,"UNM^FF_INT_EXP_NET(,12/2019,,,,LOCAL)":177.4,"UNM^FF_INT_EXP_NET(,12/2020,,,,LOCAL)":188.2,"UNM^FF_INT_EXP_NET(,12/2021,,,,LOCAL)":185.0,"UNM^FF_INT_EXP_NET(,12/2022,,,,LOCAL)":188.5,"UNM^FF_NON_OPER_INC(,12/2012,,,,LOCAL)":0.0,"UNM^FF_NON_OPER_INC(,12/2013,,,,LOCAL)":0.0,"UNM^FF_NON_OPER_INC(,12/2014,,,,LOCAL)":0.0,"UNM^FF_NON_OPER_INC(,12/2015,,,,LOCAL)":0.0,"UNM^FF_NON_OPER_INC(,12/2016,,,,LOCAL)":0.0,"UNM^FF_NON_OPER_INC(,12/2017,,,,LOCAL)":0.0,"UNM^FF_NON_OPER_INC(,12/2018,,,,LOCAL)":0.0,"UNM^FF_NON_OPER_INC(,12/2019,,,,LOCAL)":0.0,"UNM^FF_NON_OPER_INC(,12/2020,,,,LOCAL)":0.0,"UNM^FF_NON_OPER_INC(,12/2021,,,,LOCAL)":0.0,"UNM^FF_NON_OPER_INC(,12/2022,,,,LOCAL)":-72.2,"UNM^FF_UNUSUAL_EXP(,12/2012,,,,LOCAL)":0.0,"UNM^FF_UNUSUAL_EXP(,12/2013,,,,LOCAL)":0.0,"UNM^FF_UNUSUAL_EXP(,12/2014,,,,LOCAL)":null,"UNM^FF_UNUSUAL_EXP(,12/2015,,,,LOCAL)":null,"UNM^FF_UNUSUAL_EXP(,12/2016,,,,LOCAL)":null,"UNM^FF_UNUSUAL_EXP(,12/2017,,,,LOCAL)":null,"UNM^FF_UNUSUAL_EXP(,12/2018,,,,LOCAL)":null,"UNM^FF_UNUSUAL_EXP(,12/2019,,,,LOCAL)":27.3,"UNM^FF_UNUSUAL_EXP(,12/2020,,,,LOCAL)":12.7,"UNM^FF_UNUSUAL_EXP(,12/2021,,,,LOCAL)":93.3,"UNM^FF_UNUSUAL_EXP(,12/2022,,,,LOCAL)":4.2,"UNM^FF_PTX_INC(,12/2012,,,,LOCAL)":1249.5,"UNM^FF_PTX_INC(,12/2013,,,,LOCAL)":1205.2,"UNM^FF_PTX_INC(,12/2014,,,,LOCAL)":542.0,"UNM^FF_PTX_INC(,12/2015,,,,LOCAL)":1238.3,"UNM^FF_PTX_INC(,12/2016,,,,LOCAL)":1347.7,"UNM^FF_PTX_INC(,12/2017,,,,LOCAL)":1404.0,"UNM^FF_PTX_INC(,12/2018,,,,LOCAL)":627.8,"UNM^FF_PTX_INC(,12/2019,,,,LOCAL)":1382.1,"UNM^FF_PTX_INC(,12/2020,,,,LOCAL)":964.0,"UNM^FF_PTX_INC(,12/2021,,,,LOCAL)":1063.0,"UNM^FF_PTX_INC(,12/2022,,,,LOCAL)":1631.4,"UNM^FF_INC_TAX(,12/2012,,,,LOCAL)":355.1,"UNM^FF_INC_TAX(,12/2013,,,,LOCAL)":347.1,"UNM^FF_INC_TAX(,12/2014,,,,LOCAL)":139.9,"UNM^FF_INC_TAX(,12/2015,,,,LOCAL)":371.2,"UNM^FF_INC_TAX(,12/2016,,,,LOCAL)":416.3,"UNM^FF_INC_TAX(,12/2017,,,,LOCAL)":409.8,"UNM^FF_INC_TAX(,12/2018,,,,LOCAL)":104.4,"UNM^FF_INC_TAX(,12/2019,,,,LOCAL)":281.8,"UNM^FF_INC_TAX(,12/2020,,,,LOCAL)":171.0,"UNM^FF_INC_TAX(,12/2021,,,,LOCAL)":238.8,"UNM^FF_INC_TAX(,12/2022,,,,LOCAL)":317.2,"UNM^FF_NET_INC(,12/2012,,,,LOCAL)":894.4,"UNM^FF_NET_INC(,12/2013,,,,LOCAL)":858.1,"UNM^FF_NET_INC(,12/2014,,,,LOCAL)":402.1,"UNM^FF_NET_INC(,12/2015,,,,LOCAL)":867.1,"UNM^FF_NET_INC(,12/2016,,,,LOCAL)":931.4,"UNM^FF_NET_INC(,12/2017,,,,LOCAL)":994.2,"UNM^FF_NET_INC(,12/2018,,,,LOCAL)":523.4,"UNM^FF_NET_INC(,12/2019,,,,LOCAL)":1100.3,"UNM^FF_NET_INC(,12/2020,,,,LOCAL)":793.0,"UNM^FF_NET_INC(,12/2021,,,,LOCAL)":824.2,"UNM^FF_NET_INC(,12/2022,,,,LOCAL)":1314.2,"UNM^FF_COM_SHS_OUT_EPS_DIL(,12/2012,,,,LOCAL)":281.7568,"UNM^FF_COM_SHS_OUT_EPS_DIL(,12/2013,,,,LOCAL)":265.9492,"UNM^FF_COM_SHS_OUT_EPS_DIL(,12/2014,,,,LOCAL)":256.6528,"UNM^FF_COM_SHS_OUT_EPS_DIL(,12/2015,,,,LOCAL)":247.8547,"UNM^FF_COM_SHS_OUT_EPS_DIL(,12/2016,,,,LOCAL)":235.9792,"UNM^FF_COM_SHS_OUT_EPS_DIL(,12/2017,,,,LOCAL)":227.3352,"UNM^FF_COM_SHS_OUT_EPS_DIL(,12/2018,,,,LOCAL)":220.0586,"UNM^FF_COM_SHS_OUT_EPS_DIL(,12/2019,,,,LOCAL)":209.8544,"UNM^FF_COM_SHS_OUT_EPS_DIL(,12/2020,,,,LOCAL)":203.7553,"UNM^FF_COM_SHS_OUT_EPS_DIL(,12/2021,,,,LOCAL)":204.8479,"UNM^FF_COM_SHS_OUT_EPS_DIL(,12/2022,,,,LOCAL)":202.1094,"UNM^FF_EPS_DIL(,12/2012,,,,LOCAL)":3.1744,"UNM^FF_EPS_DIL(,12/2013,,,,LOCAL)":3.2266,"UNM^FF_EPS_DIL(,12/2014,,,,LOCAL)":1.5667,"UNM^FF_EPS_DIL(,12/2015,,,,LOCAL)":3.4984,"UNM^FF_EPS_DIL(,12/2016,,,,LOCAL)":3.947,"UNM^FF_EPS_DIL(,12/2017,,,,LOCAL)":4.3733,"UNM^FF_EPS_DIL(,12/2018,,,,LOCAL)":2.3785,"UNM^FF_EPS_DIL(,12/2019,,,,LOCAL)":5.2432,"UNM^FF_EPS_DIL(,12/2020,,,,LOCAL)":3.8919,"UNM^FF_EPS_DIL(,12/2021,,,,LOCAL)":4.0235,"UNM^FF_EPS_DIL(,12/2022,,,,LOCAL)":6.5024,"UNM^FF_CASH_ST(,12/2012,,,,LOCAL)":null,"UNM^FF_CASH_ST(,12/2013,,,,LOCAL)":null,"UNM^FF_CASH_ST(,12/2014,,,,LOCAL)":null,"UNM^FF_CASH_ST(,12/2015,,,,LOCAL)":null,"UNM^FF_CASH_ST(,12/2016,,,,LOCAL)":null,"UNM^FF_CASH_ST(,12/2017,,,,LOCAL)":null,"UNM^FF_CASH_ST(,12/2018,,,,LOCAL)":null,"UNM^FF_CASH_ST(,12/2019,,,,LOCAL)":null,"UNM^FF_CASH_ST(,12/2020,,,,LOCAL)":null,"UNM^FF_CASH_ST(,12/2021,,,,LOCAL)":null,"UNM^FF_CASH_ST(,12/2022,,,,LOCAL)":null,"UNM^FF_RECEIV_NET(,12/2012,,,,LOCAL)":null,"UNM^FF_RECEIV_NET(,12/2013,,,,LOCAL)":null,"UNM^FF_RECEIV_NET(,12/2014,,,,LOCAL)":null,"UNM^FF_RECEIV_NET(,12/2015,,,,LOCAL)":null,"UNM^FF_RECEIV_NET(,12/2016,,,,LOCAL)":null,"UNM^FF_RECEIV_NET(,12/2017,,,,LOCAL)":null,"UNM^FF_RECEIV_NET(,12/2018,,,,LOCAL)":null,"UNM^FF_RECEIV_NET(,12/2019,,,,LOCAL)":null,"UNM^FF_RECEIV_NET(,12/2020,,,,LOCAL)":null,"UNM^FF_RECEIV_NET(,12/2021,,,,LOCAL)":null,"UNM^FF_RECEIV_NET(,12/2022,,,,LOCAL)":null,"UNM^FF_INVEN(,12/2012,,,,LOCAL)":null,"UNM^FF_INVEN(,12/2013,,,,LOCAL)":null,"UNM^FF_INVEN(,12/2014,,,,LOCAL)":null,"UNM^FF_INVEN(,12/2015,,,,LOCAL)":null,"UNM^FF_INVEN(,12/2016,,,,LOCAL)":null,"UNM^FF_INVEN(,12/2017,,,,LOCAL)":null,"UNM^FF_INVEN(,12/2018,,,,LOCAL)":null,"UNM^FF_INVEN(,12/2019,,,,LOCAL)":null,"UNM^FF_INVEN(,12/2020,,,,LOCAL)":null,"UNM^FF_INVEN(,12/2021,,,,LOCAL)":null,"UNM^FF_INVEN(,12/2022,,,,LOCAL)":null,"UNM^FF_ASSETS_CURR(,12/2012,,,,LOCAL)":4841.9,"UNM^FF_ASSETS_CURR(,12/2013,,,,LOCAL)":4330.3,"UNM^FF_ASSETS_CURR(,12/2014,,,,LOCAL)":4883.4,"UNM^FF_ASSETS_CURR(,12/2015,,,,LOCAL)":4354.0,"UNM^FF_ASSETS_CURR(,12/2016,,,,LOCAL)":4551.9,"UNM^FF_ASSETS_CURR(,12/2017,,,,LOCAL)":5241.2,"UNM^FF_ASSETS_CURR(,12/2018,,,,LOCAL)":4447.6,"UNM^FF_ASSETS_CURR(,12/2019,,,,LOCAL)":4510.3,"UNM^FF_ASSETS_CURR(,12/2020,,,,LOCAL)":4768.8,"UNM^FF_ASSETS_CURR(,12/2021,,,,LOCAL)":4370.5,"UNM^FF_ASSETS_CURR(,12/2022,,,,LOCAL)":4741.8,"UNM^FF_PPE_NET(,12/2012,,,,LOCAL)":501.6,"UNM^FF_PPE_NET(,12/2013,,,,LOCAL)":511.9,"UNM^FF_PPE_NET(,12/2014,,,,LOCAL)":531.7,"UNM^FF_PPE_NET(,12/2015,,,,LOCAL)":523.9,"UNM^FF_PPE_NET(,12/2016,,,,LOCAL)":500.6,"UNM^FF_PPE_NET(,12/2017,,,,LOCAL)":504.8,"UNM^FF_PPE_NET(,12/2018,,,,LOCAL)":546.9,"UNM^FF_PPE_NET(,12/2019,,,,LOCAL)":642.7,"UNM^FF_PPE_NET(,12/2020,,,,LOCAL)":580.9,"UNM^FF_PPE_NET(,12/2021,,,,LOCAL)":511.8,"UNM^FF_PPE_NET(,12/2022,,,,LOCAL)":489.4,"UNM^FF_INTANG(,12/2012,,,,LOCAL)":201.7,"UNM^FF_INTANG(,12/2013,,,,LOCAL)":200.9,"UNM^FF_INTANG(,12/2014,,,,LOCAL)":198.7,"UNM^FF_INTANG(,12/2015,,,,LOCAL)":230.9,"UNM^FF_INTANG(,12/2016,,,,LOCAL)":335.1,"UNM^FF_INTANG(,12/2017,,,,LOCAL)":338.6,"UNM^FF_INTANG(,12/2018,,,,LOCAL)":350.3,"UNM^FF_INTANG(,12/2019,,,,LOCAL)":351.7,"UNM^FF_INTANG(,12/2020,,,,LOCAL)":353.0,"UNM^FF_INTANG(,12/2021,,,,LOCAL)":352.2,"UNM^FF_INTANG(,12/2022,,,,LOCAL)":347.6,"UNM^FF_ASSETS(,12/2012,,,,LOCAL)":58082.8,"UNM^FF_ASSETS(,12/2013,,,,LOCAL)":55931.8,"UNM^FF_ASSETS(,12/2014,,,,LOCAL)":59722.2,"UNM^FF_ASSETS(,12/2015,,,,LOCAL)":57158.0,"UNM^FF_ASSETS(,12/2016,,,,LOCAL)":58698.7,"UNM^FF_ASSETS(,12/2017,,,,LOCAL)":60222.6,"UNM^FF_ASSETS(,12/2018,,,,LOCAL)":57950.6,"UNM^FF_ASSETS(,12/2019,,,,LOCAL)":63580.0,"UNM^FF_ASSETS(,12/2020,,,,LOCAL)":60683.5,"UNM^FF_ASSETS(,12/2021,,,,LOCAL)":59530.3,"UNM^FF_ASSETS(,12/2022,,,,LOCAL)":50900.5,"UNM^FF_PAY_ACCT(,12/2012,,,,LOCAL)":null,"UNM^FF_PAY_ACCT(,12/2013,,,,LOCAL)":null,"UNM^FF_PAY_ACCT(,12/2014,,,,LOCAL)":null,"UNM^FF_PAY_ACCT(,12/2015,,,,LOCAL)":null,"UNM^FF_PAY_ACCT(,12/2016,,,,LOCAL)":null,"UNM^FF_PAY_ACCT(,12/2017,,,,LOCAL)":null,"UNM^FF_PAY_ACCT(,12/2018,,,,LOCAL)":null,"UNM^FF_PAY_ACCT(,12/2019,,,,LOCAL)":null,"UNM^FF_PAY_ACCT(,12/2020,,,,LOCAL)":null,"UNM^FF_PAY_ACCT(,12/2021,,,,LOCAL)":null,"UNM^FF_PAY_ACCT(,12/2022,,,,LOCAL)":null,"UNM^FF_LIABS_CURR(,12/2012,,,,LOCAL)":-4332.6,"UNM^FF_LIABS_CURR(,12/2013,,,,LOCAL)":-4730.0,"UNM^FF_LIABS_CURR(,12/2014,,,,LOCAL)":-4680.7,"UNM^FF_LIABS_CURR(,12/2015,,,,LOCAL)":-3951.7,"UNM^FF_LIABS_CURR(,12/2016,,,,LOCAL)":-4432.3,"UNM^FF_LIABS_CURR(,12/2017,,,,LOCAL)":-4280.2,"UNM^FF_LIABS_CURR(,12/2018,,,,LOCAL)":-4510.3,"UNM^FF_LIABS_CURR(,12/2019,,,,LOCAL)":-4097.7,"UNM^FF_LIABS_CURR(,12/2020,,,,LOCAL)":-11453.6,"UNM^FF_LIABS_CURR(,12/2021,,,,LOCAL)":-11514.7,"UNM^FF_LIABS_CURR(,12/2022,,,,LOCAL)":-10720.8,"UNM^FF_DEBT_ST(,12/2012,,,,LOCAL)":455.8,"UNM^FF_DEBT_ST(,12/2013,,,,LOCAL)":76.5,"UNM^FF_DEBT_ST(,12/2014,,,,LOCAL)":151.9,"UNM^FF_DEBT_ST(,12/2015,,,,LOCAL)":352.0,"UNM^FF_DEBT_ST(,12/2016,,,,LOCAL)":0.0,"UNM^FF_DEBT_ST(,12/2017,,,,LOCAL)":199.9,"UNM^FF_DEBT_ST(,12/2018,,,,LOCAL)":0.0,"UNM^FF_DEBT_ST(,12/2019,,,,LOCAL)":426.3,"UNM^FF_DEBT_ST(,12/2020,,,,LOCAL)":25.4,"UNM^FF_DEBT_ST(,12/2021,,,,LOCAL)":22.6,"UNM^FF_DEBT_ST(,12/2022,,,,LOCAL)":20.2,"UNM^FF_DEBT_LT(,12/2012,,,,LOCAL)":2755.4,"UNM^FF_DEBT_LT(,12/2013,,,,LOCAL)":2612.0,"UNM^FF_DEBT_LT(,12/2014,,,,LOCAL)":2628.7,"UNM^FF_DEBT_LT(,12/2015,,,,LOCAL)":2449.4,"UNM^FF_DEBT_LT(,12/2016,,,,LOCAL)":2999.4,"UNM^FF_DEBT_LT(,12/2017,,,,LOCAL)":2738.4,"UNM^FF_DEBT_LT(,12/2018,,,,LOCAL)":2971.3,"UNM^FF_DEBT_LT(,12/2019,,,,LOCAL)":3015.0,"UNM^FF_DEBT_LT(,12/2020,,,,LOCAL)":3426.2,"UNM^FF_DEBT_LT(,12/2021,,,,LOCAL)":3502.2,"UNM^FF_DEBT_LT(,12/2022,,,,LOCAL)":3477.5,"UNM^FF_DEBT(,12/2012,,,,LOCAL)":3211.2,"UNM^FF_DEBT(,12/2013,,,,LOCAL)":2688.5,"UNM^FF_DEBT(,12/2014,,,,LOCAL)":2780.6,"UNM^FF_DEBT(,12/2015,,,,LOCAL)":2801.4,"UNM^FF_DEBT(,12/2016,,,,LOCAL)":2999.4,"UNM^FF_DEBT(,12/2017,,,,LOCAL)":2938.3,"UNM^FF_DEBT(,12/2018,,,,LOCAL)":2971.3,"UNM^FF_DEBT(,12/2019,,,,LOCAL)":3441.3,"UNM^FF_DEBT(,12/2020,,,,LOCAL)":3451.6,"UNM^FF_DEBT(,12/2021,,,,LOCAL)":3524.8,"UNM^FF_DEBT(,12/2022,,,,LOCAL)":3497.7,"UNM^FF_LIABS(,12/2012,,,,LOCAL)":49470.2,"UNM^FF_LIABS(,12/2013,,,,LOCAL)":47272.7,"UNM^FF_LIABS(,12/2014,,,,LOCAL)":51200.3,"UNM^FF_LIABS(,12/2015,,,,LOCAL)":48494.1,"UNM^FF_LIABS(,12/2016,,,,LOCAL)":49730.7,"UNM^FF_LIABS(,12/2017,,,,LOCAL)":50647.7,"UNM^FF_LIABS(,12/2018,,,,LOCAL)":49328.8,"UNM^FF_LIABS(,12/2019,,,,LOCAL)":53615.0,"UNM^FF_LIABS(,12/2020,,,,LOCAL)":49812.5,"UNM^FF_LIABS(,12/2021,,,,LOCAL)":48113.9,"UNM^FF_LIABS(,12/2022,,,,LOCAL)":41703.0,"UNM^FF_PFD_STK(,12/2012,,,,LOCAL)":0.0,"UNM^FF_PFD_STK(,12/2013,,,,LOCAL)":0.0,"UNM^FF_PFD_STK(,12/2014,,,,LOCAL)":0.0,"UNM^FF_PFD_STK(,12/2015,,,,LOCAL)":0.0,"UNM^FF_PFD_STK(,12/2016,,,,LOCAL)":0.0,"UNM^FF_PFD_STK(,12/2017,,,,LOCAL)":0.0,"UNM^FF_PFD_STK(,12/2018,,,,LOCAL)":0.0,"UNM^FF_PFD_STK(,12/2019,,,,LOCAL)":0.0,"UNM^FF_PFD_STK(,12/2020,,,,LOCAL)":0.0,"UNM^FF_PFD_STK(,12/2021,,,,LOCAL)":0.0,"UNM^FF_PFD_STK(,12/2022,,,,LOCAL)":0.0,"UNM^FF_SHLDRS_EQ(,12/2012,,,,LOCAL)":8612.6,"UNM^FF_SHLDRS_EQ(,12/2013,,,,LOCAL)":8659.1,"UNM^FF_SHLDRS_EQ(,12/2014,,,,LOCAL)":8521.9,"UNM^FF_SHLDRS_EQ(,12/2015,,,,LOCAL)":8663.9,"UNM^FF_SHLDRS_EQ(,12/2016,,,,LOCAL)":8968.0,"UNM^FF_SHLDRS_EQ(,12/2017,,,,LOCAL)":9574.9,"UNM^FF_SHLDRS_EQ(,12/2018,,,,LOCAL)":8621.8,"UNM^FF_SHLDRS_EQ(,12/2019,,,,LOCAL)":9965.0,"UNM^FF_SHLDRS_EQ(,12/2020,,,,LOCAL)":10871.0,"UNM^FF_SHLDRS_EQ(,12/2021,,,,LOCAL)":11416.4,"UNM^FF_SHLDRS_EQ(,12/2022,,,,LOCAL)":9197.5,"UNM^FF_LIABS_SHLDRS_EQ(,12/2012,,,,LOCAL)":58082.8,"UNM^FF_LIABS_SHLDRS_EQ(,12/2013,,,,LOCAL)":55931.8,"UNM^FF_LIABS_SHLDRS_EQ(,12/2014,,,,LOCAL)":59722.2,"UNM^FF_LIABS_SHLDRS_EQ(,12/2015,,,,LOCAL)":57158.0,"UNM^FF_LIABS_SHLDRS_EQ(,12/2016,,,,LOCAL)":58698.7,"UNM^FF_LIABS_SHLDRS_EQ(,12/2017,,,,LOCAL)":60222.6,"UNM^FF_LIABS_SHLDRS_EQ(,12/2018,,,,LOCAL)":57950.6,"UNM^FF_LIABS_SHLDRS_EQ(,12/2019,,,,LOCAL)":63580.0,"UNM^FF_LIABS_SHLDRS_EQ(,12/2020,,,,LOCAL)":60683.5,"UNM^FF_LIABS_SHLDRS_EQ(,12/2021,,,,LOCAL)":59530.3,"UNM^FF_LIABS_SHLDRS_EQ(,12/2022,,,,LOCAL)":50900.5,"UNM^FF_NET_INC_CF(,12/2012,,,,LOCAL)":null,"UNM^FF_NET_INC_CF(,12/2013,,,,LOCAL)":null,"UNM^FF_NET_INC_CF(,12/2014,,,,LOCAL)":null,"UNM^FF_NET_INC_CF(,12/2015,,,,LOCAL)":null,"UNM^FF_NET_INC_CF(,12/2016,,,,LOCAL)":null,"UNM^FF_NET_INC_CF(,12/2017,,,,LOCAL)":null,"UNM^FF_NET_INC_CF(,12/2018,,,,LOCAL)":null,"UNM^FF_NET_INC_CF(,12/2019,,,,LOCAL)":null,"UNM^FF_NET_INC_CF(,12/2020,,,,LOCAL)":null,"UNM^FF_NET_INC_CF(,12/2021,,,,LOCAL)":null,"UNM^FF_NET_INC_CF(,12/2022,,,,LOCAL)":null,"UNM^FF_DEP_EXP_XAMORT_CF(,12/2012,,,,LOCAL)":84.3,"UNM^FF_DEP_EXP_XAMORT_CF(,12/2013,,,,LOCAL)":84.8,"UNM^FF_DEP_EXP_XAMORT_CF(,12/2014,,,,LOCAL)":87.9,"UNM^FF_DEP_EXP_XAMORT_CF(,12/2015,,,,LOCAL)":99.5,"UNM^FF_DEP_EXP_XAMORT_CF(,12/2016,,,,LOCAL)":101.7,"UNM^FF_DEP_EXP_XAMORT_CF(,12/2017,,,,LOCAL)":103.4,"UNM^FF_DEP_EXP_XAMORT_CF(,12/2018,,,,LOCAL)":101.4,"UNM^FF_DEP_EXP_XAMORT_CF(,12/2019,,,,LOCAL)":110.1,"UNM^FF_DEP_EXP_XAMORT_CF(,12/2020,,,,LOCAL)":113.6,"UNM^FF_DEP_EXP_XAMORT_CF(,12/2021,,,,LOCAL)":119.8,"UNM^FF_DEP_EXP_XAMORT_CF(,12/2022,,,,LOCAL)":110.5,"UNM^FF_AMORT_CF(,12/2012,,,,LOCAL)":null,"UNM^FF_AMORT_CF(,12/2013,,,,LOCAL)":null,"UNM^FF_AMORT_CF(,12/2014,,,,LOCAL)":null,"UNM^FF_AMORT_CF(,12/2015,,,,LOCAL)":null,"UNM^FF_AMORT_CF(,12/2016,,,,LOCAL)":null,"UNM^FF_AMORT_CF(,12/2017,,,,LOCAL)":null,"UNM^FF_AMORT_CF(,12/2018,,,,LOCAL)":null,"UNM^FF_AMORT_CF(,12/2019,,,,LOCAL)":null,"UNM^FF_AMORT_CF(,12/2020,,,,LOCAL)":null,"UNM^FF_AMORT_CF(,12/2021,,,,LOCAL)":null,"UNM^FF_AMORT_CF(,12/2022,,,,LOCAL)":null,"UNM^FF_DFD_TAX_CF(,12/2012,,,,LOCAL)":null,"UNM^FF_DFD_TAX_CF(,12/2013,,,,LOCAL)":null,"UNM^FF_DFD_TAX_CF(,12/2014,,,,LOCAL)":null,"UNM^FF_DFD_TAX_CF(,12/2015,,,,LOCAL)":null,"UNM^FF_DFD_TAX_CF(,12/2016,,,,LOCAL)":null,"UNM^FF_DFD_TAX_CF(,12/2017,,,,LOCAL)":null,"UNM^FF_DFD_TAX_CF(,12/2018,,,,LOCAL)":null,"UNM^FF_DFD_TAX_CF(,12/2019,,,,LOCAL)":null,"UNM^FF_DFD_TAX_CF(,12/2020,,,,LOCAL)":null,"UNM^FF_DFD_TAX_CF(,12/2021,,,,LOCAL)":null,"UNM^FF_DFD_TAX_CF(,12/2022,,,,LOCAL)":null,"UNM^FF_NON_CASH(,12/2012,,,,LOCAL)":null,"UNM^FF_NON_CASH(,12/2013,,,,LOCAL)":null,"UNM^FF_NON_CASH(,12/2014,,,,LOCAL)":null,"UNM^FF_NON_CASH(,12/2015,,,,LOCAL)":null,"UNM^FF_NON_CASH(,12/2016,,,,LOCAL)":null,"UNM^FF_NON_CASH(,12/2017,,,,LOCAL)":null,"UNM^FF_NON_CASH(,12/2018,,,,LOCAL)":null,"UNM^FF_NON_CASH(,12/2019,,,,LOCAL)":null,"UNM^FF_NON_CASH(,12/2020,,,,LOCAL)":null,"UNM^FF_NON_CASH(,12/2021,,,,LOCAL)":null,"UNM^FF_NON_CASH(,12/2022,,,,LOCAL)":null,"UNM^FF_WKCAP_CHG(,12/2012,,,,LOCAL)":678.4,"UNM^FF_WKCAP_CHG(,12/2013,,,,LOCAL)":306.9,"UNM^FF_WKCAP_CHG(,12/2014,,,,LOCAL)":945.4,"UNM^FF_WKCAP_CHG(,12/2015,,,,LOCAL)":475.8,"UNM^FF_WKCAP_CHG(,12/2016,,,,LOCAL)":294.9,"UNM^FF_WKCAP_CHG(,12/2017,,,,LOCAL)":306.9,"UNM^FF_WKCAP_CHG(,12/2018,,,,LOCAL)":1083.3,"UNM^FF_WKCAP_CHG(,12/2019,,,,LOCAL)":745.9,"UNM^FF_WKCAP_CHG(,12/2020,,,,LOCAL)":2095.1,"UNM^FF_WKCAP_CHG(,12/2021,,,,LOCAL)":1152.6,"UNM^FF_WKCAP_CHG(,12/2022,,,,LOCAL)":161.5,"UNM^FF_OPER_CF(,12/2012,,,,LOCAL)":1379.6,"UNM^FF_OPER_CF(,12/2013,,,,LOCAL)":1031.5,"UNM^FF_OPER_CF(,12/2014,,,,LOCAL)":1223.6,"UNM^FF_OPER_CF(,12/2015,,,,LOCAL)":1292.1,"UNM^FF_OPER_CF(,12/2016,,,,LOCAL)":1116.1,"UNM^FF_OPER_CF(,12/2017,,,,LOCAL)":1164.1,"UNM^FF_OPER_CF(,12/2018,,,,LOCAL)":1536.5,"UNM^FF_OPER_CF(,12/2019,,,,LOCAL)":1741.6,"UNM^FF_OPER_CF(,12/2020,,,,LOCAL)":597.5,"UNM^FF_OPER_CF(,12/2021,,,,LOCAL)":1387.5,"UNM^FF_OPER_CF(,12/2022,,,,LOCAL)":1418.7,"UNM^FF_CAPEX(,12/2012,,,,LOCAL)":0.0,"UNM^FF_CAPEX(,12/2013,,,,LOCAL)":105.5,"UNM^FF_CAPEX(,12/2014,,,,LOCAL)":114.5,"UNM^FF_CAPEX(,12/2015,,,,LOCAL)":100.2,"UNM^FF_CAPEX(,12/2016,,,,LOCAL)":85.0,"UNM^FF_CAPEX(,12/2017,,,,LOCAL)":105.3,"UNM^FF_CAPEX(,12/2018,,,,LOCAL)":144.1,"UNM^FF_CAPEX(,12/2019,,,,LOCAL)":150.9,"UNM^FF_CAPEX(,12/2020,,,,LOCAL)":119.1,"UNM^FF_CAPEX(,12/2021,,,,LOCAL)":110.3,"UNM^FF_CAPEX(,12/2022,,,,LOCAL)":102.2,"UNM^FF_ACQ_BUS_CF(ANN_R,12/2012,,,,LOCAL)":0.0,"UNM^FF_ACQ_BUS_CF(ANN_R,12/2013,,,,LOCAL)":0.0,"UNM^FF_ACQ_BUS_CF(ANN_R,12/2014,,,,LOCAL)":0.0,"UNM^FF_ACQ_BUS_CF(ANN_R,12/2015,,,,LOCAL)":54.3,"UNM^FF_ACQ_BUS_CF(ANN_R,12/2016,,,,LOCAL)":129.2,"UNM^FF_ACQ_BUS_CF(ANN_R,12/2017,,,,LOCAL)":0.0,"UNM^FF_ACQ_BUS_CF(ANN_R,12/2018,,,,LOCAL)":145.4,"UNM^FF_ACQ_BUS_CF(ANN_R,12/2019,,,,LOCAL)":0.0,"UNM^FF_ACQ_BUS_CF(ANN_R,12/2020,,,,LOCAL)":0.0,"UNM^FF_ACQ_BUS_CF(ANN_R,12/2021,,,,LOCAL)":0.0,"UNM^FF_ACQ_BUS_CF(ANN_R,12/2022,,,,LOCAL)":0.0,"UNM^FF_SALE_ASSETS_BUS_CF(ANN_R,12/2012,,,,LOCAL)":0.0,"UNM^FF_SALE_ASSETS_BUS_CF(ANN_R,12/2013,,,,LOCAL)":0.0,"UNM^FF_SALE_ASSETS_BUS_CF(ANN_R,12/2014,,,,LOCAL)":0.0,"UNM^FF_SALE_ASSETS_BUS_CF(ANN_R,12/2015,,,,LOCAL)":0.0,"UNM^FF_SALE_ASSETS_BUS_CF(ANN_R,12/2016,,,,LOCAL)":0.0,"UNM^FF_SALE_ASSETS_BUS_CF(ANN_R,12/2017,,,,LOCAL)":0.0,"UNM^FF_SALE_ASSETS_BUS_CF(ANN_R,12/2018,,,,LOCAL)":0.0,"UNM^FF_SALE_ASSETS_BUS_CF(ANN_R,12/2019,,,,LOCAL)":0.0,"UNM^FF_SALE_ASSETS_BUS_CF(ANN_R,12/2020,,,,LOCAL)":0.0,"UNM^FF_SALE_ASSETS_BUS_CF(ANN_R,12/2021,,,,LOCAL)":0.0,"UNM^FF_SALE_ASSETS_BUS_CF(ANN_R,12/2022,,,,LOCAL)":0.0,"UNM^FF_INVEST_PURCH_CF(ANN_R,12/2012,,,,LOCAL)":3946.7,"UNM^FF_INVEST_PURCH_CF(ANN_R,12/2013,,,,LOCAL)":3917.3,"UNM^FF_INVEST_PURCH_CF(ANN_R,12/2014,,,,LOCAL)":3272.9,"UNM^FF_INVEST_PURCH_CF(ANN_R,12/2015,,,,LOCAL)":4714.8,"UNM^FF_INVEST_PURCH_CF(ANN_R,12/2016,,,,LOCAL)":3938.8,"UNM^FF_INVEST_PURCH_CF(ANN_R,12/2017,,,,LOCAL)":3639.2,"UNM^FF_INVEST_PURCH_CF(ANN_R,12/2018,,,,LOCAL)":4484.9,"UNM^FF_INVEST_PURCH_CF(ANN_R,12/2019,,,,LOCAL)":4858.5,"UNM^FF_INVEST_PURCH_CF(ANN_R,12/2020,,,,LOCAL)":3743.3,"UNM^FF_INVEST_PURCH_CF(ANN_R,12/2021,,,,LOCAL)":4713.1,"UNM^FF_INVEST_PURCH_CF(ANN_R,12/2022,,,,LOCAL)":3340.8,"UNM^FF_INVEST_SALE_CF(ANN_R,12/2012,,,,LOCAL)":2938.6,"UNM^FF_INVEST_SALE_CF(ANN_R,12/2013,,,,LOCAL)":3982.7,"UNM^FF_INVEST_SALE_CF(ANN_R,12/2014,,,,LOCAL)":2504.5,"UNM^FF_INVEST_SALE_CF(ANN_R,12/2015,,,,LOCAL)":3814.7,"UNM^FF_INVEST_SALE_CF(ANN_R,12/2016,,,,LOCAL)":3452.4,"UNM^FF_INVEST_SALE_CF(ANN_R,12/2017,,,,LOCAL)":3255.0,"UNM^FF_INVEST_SALE_CF(ANN_R,12/2018,,,,LOCAL)":4112.4,"UNM^FF_INVEST_SALE_CF(ANN_R,12/2019,,,,LOCAL)":3719.7,"UNM^FF_INVEST_SALE_CF(ANN_R,12/2020,,,,LOCAL)":3280.2,"UNM^FF_INVEST_SALE_CF(ANN_R,12/2021,,,,LOCAL)":3533.5,"UNM^FF_INVEST_SALE_CF(ANN_R,12/2022,,,,LOCAL)":2537.9,"UNM^FF_INVEST_ACTIV_CF(ANN_R,12/2012,,,,LOCAL)":105.3,"UNM^FF_INVEST_ACTIV_CF(ANN_R,12/2013,,,,LOCAL)":0.0,"UNM^FF_INVEST_ACTIV_CF(ANN_R,12/2014,,,,LOCAL)":3.7,"UNM^FF_INVEST_ACTIV_CF(ANN_R,12/2015,,,,LOCAL)":0.0,"UNM^FF_INVEST_ACTIV_CF(ANN_R,12/2016,,,,LOCAL)":9.4,"UNM^FF_INVEST_ACTIV_CF(ANN_R,12/2017,,,,LOCAL)":9.8,"UNM^FF_INVEST_ACTIV_CF(ANN_R,12/2018,,,,LOCAL)":268.1,"UNM^FF_INVEST_ACTIV_CF(ANN_R,12/2019,,,,LOCAL)":103.8,"UNM^FF_INVEST_ACTIV_CF(ANN_R,12/2020,,,,LOCAL)":0.0,"UNM^FF_INVEST_ACTIV_CF(ANN_R,12/2021,,,,LOCAL)":50.7,"UNM^FF_INVEST_ACTIV_CF(ANN_R,12/2022,,,,LOCAL)":50.8,"UNM^FF_INVEST_SOURCES_CF(ANN_R,12/2012,,,,LOCAL)":0.0,"UNM^FF_INVEST_SOURCES_CF(ANN_R,12/2013,,,,LOCAL)":0.2,"UNM^FF_INVEST_SOURCES_CF(ANN_R,12/2014,,,,LOCAL)":0.0,"UNM^FF_INVEST_SOURCES_CF(ANN_R,12/2015,,,,LOCAL)":341.6,"UNM^FF_INVEST_SOURCES_CF(ANN_R,12/2016,,,,LOCAL)":0.0,"UNM^FF_INVEST_SOURCES_CF(ANN_R,12/2017,,,,LOCAL)":0.0,"UNM^FF_INVEST_SOURCES_CF(ANN_R,12/2018,,,,LOCAL)":0.0,"UNM^FF_INVEST_SOURCES_CF(ANN_R,12/2019,,,,LOCAL)":0.0,"UNM^FF_INVEST_SOURCES_CF(ANN_R,12/2020,,,,LOCAL)":314.5,"UNM^FF_INVEST_SOURCES_CF(ANN_R,12/2021,,,,LOCAL)":0.0,"UNM^FF_INVEST_SOURCES_CF(ANN_R,12/2022,,,,LOCAL)":0.0,"UNM^FF_INVEST_CF(,12/2012,,,,LOCAL)":-1113.4,"UNM^FF_INVEST_CF(,12/2013,,,,LOCAL)":-39.9,"UNM^FF_INVEST_CF(,12/2014,,,,LOCAL)":-886.6,"UNM^FF_INVEST_CF(,12/2015,,,,LOCAL)":-713.0,"UNM^FF_INVEST_CF(,12/2016,,,,LOCAL)":-710.0,"UNM^FF_INVEST_CF(,12/2017,,,,LOCAL)":-499.3,"UNM^FF_INVEST_CF(,12/2018,,,,LOCAL)":-930.1,"UNM^FF_INVEST_CF(,12/2019,,,,LOCAL)":-1393.5,"UNM^FF_INVEST_CF(,12/2020,,,,LOCAL)":-267.7,"UNM^FF_INVEST_CF(,12/2021,,,,LOCAL)":-1340.6,"UNM^FF_INVEST_CF(,12/2022,,,,LOCAL)":-955.9,"UNM^FF_DIV_COM_CF(,12/2012,,,,LOCAL)":133.8,"UNM^FF_DIV_COM_CF(,12/2013,,,,LOCAL)":146.5,"UNM^FF_DIV_COM_CF(,12/2014,,,,LOCAL)":159.4,"UNM^FF_DIV_COM_CF(,12/2015,,,,LOCAL)":174.2,"UNM^FF_DIV_COM_CF(,12/2016,,,,LOCAL)":182.6,"UNM^FF_DIV_COM_CF(,12/2017,,,,LOCAL)":196.0,"UNM^FF_DIV_COM_CF(,12/2018,,,,LOCAL)":215.6,"UNM^FF_DIV_COM_CF(,12/2019,,,,LOCAL)":229.2,"UNM^FF_DIV_COM_CF(,12/2020,,,,LOCAL)":231.9,"UNM^FF_DIV_COM_CF(,12/2021,,,,LOCAL)":239.4,"UNM^FF_DIV_COM_CF(,12/2022,,,,LOCAL)":254.2,"UNM^FF_DEBT_CF(,12/2012,,,,LOCAL)":319.9,"UNM^FF_DEBT_CF(,12/2013,,,,LOCAL)":-495.5,"UNM^FF_DEBT_CF(,12/2014,,,,LOCAL)":160.6,"UNM^FF_DEBT_CF(,12/2015,,,,LOCAL)":45.1,"UNM^FF_DEBT_CF(,12/2016,,,,LOCAL)":195.1,"UNM^FF_DEBT_CF(,12/2017,,,,LOCAL)":-63.5,"UNM^FF_DEBT_CF(,12/2018,,,,LOCAL)":30.7,"UNM^FF_DEBT_CF(,12/2019,,,,LOCAL)":348.8,"UNM^FF_DEBT_CF(,12/2020,,,,LOCAL)":14.1,"UNM^FF_DEBT_CF(,12/2021,,,,LOCAL)":88.1,"UNM^FF_DEBT_CF(,12/2022,,,,LOCAL)":-14.8,"UNM^FF_STK_CHG_CF(,12/2012,,,,LOCAL)":-491.8,"UNM^FF_STK_CHG_CF(,12/2013,,,,LOCAL)":-305.8,"UNM^FF_STK_CHG_CF(,12/2014,,,,LOCAL)":-293.7,"UNM^FF_STK_CHG_CF(,12/2015,,,,LOCAL)":-411.5,"UNM^FF_STK_CHG_CF(,12/2016,,,,LOCAL)":-396.7,"UNM^FF_STK_CHG_CF(,12/2017,,,,LOCAL)":-391.0,"UNM^FF_STK_CHG_CF(,12/2018,,,,LOCAL)":-351.6,"UNM^FF_STK_CHG_CF(,12/2019,,,,LOCAL)":-394.2,"UNM^FF_STK_CHG_CF(,12/2020,,,,LOCAL)":4.4,"UNM^FF_STK_CHG_CF(,12/2021,,,,LOCAL)":-46.6,"UNM^FF_STK_CHG_CF(,12/2022,,,,LOCAL)":-196.1,"UNM^FF_FIN_ACTIV_OTH_CF(,12/2012,,,,LOCAL)":0.2,"UNM^FF_FIN_ACTIV_OTH_CF(,12/2013,,,,LOCAL)":-27.0,"UNM^FF_FIN_ACTIV_OTH_CF(,12/2014,,,,LOCAL)":-36.1,"UNM^FF_FIN_ACTIV_OTH_CF(,12/2015,,,,LOCAL)":-28.1,"UNM^FF_FIN_ACTIV_OTH_CF(,12/2016,,,,LOCAL)":-34.4,"UNM^FF_FIN_ACTIV_OTH_CF(,12/2017,,,,LOCAL)":-37.3,"UNM^FF_FIN_ACTIV_OTH_CF(,12/2018,,,,LOCAL)":-53.3,"UNM^FF_FIN_ACTIV_OTH_CF(,12/2019,,,,LOCAL)":-83.4,"UNM^FF_FIN_ACTIV_OTH_CF(,12/2020,,,,LOCAL)":-3.5,"UNM^FF_FIN_ACTIV_OTH_CF(,12/2021,,,,LOCAL)":29.0,"UNM^FF_FIN_ACTIV_OTH_CF(,12/2022,,,,LOCAL)":46.5,"UNM^FF_FIN_CF(,12/2012,,,,LOCAL)":-305.5,"UNM^FF_FIN_CF(,12/2013,,,,LOCAL)":-974.8,"UNM^FF_FIN_CF(,12/2014,,,,LOCAL)":-328.6,"UNM^FF_FIN_CF(,12/2015,,,,LOCAL)":-568.7,"UNM^FF_FIN_CF(,12/2016,,,,LOCAL)":-418.6,"UNM^FF_FIN_CF(,12/2017,,,,LOCAL)":-687.8,"UNM^FF_FIN_CF(,12/2018,,,,LOCAL)":-589.8,"UNM^FF_FIN_CF(,12/2019,,,,LOCAL)":-358.0,"UNM^FF_FIN_CF(,12/2020,,,,LOCAL)":-216.9,"UNM^FF_FIN_CF(,12/2021,,,,LOCAL)":-168.9,"UNM^FF_FIN_CF(,12/2022,,,,LOCAL)":-418.6,"UNM^FF_FOR_EXCH_CF(,12/2012,,,,LOCAL)":null,"UNM^FF_FOR_EXCH_CF(,12/2013,,,,LOCAL)":null,"UNM^FF_FOR_EXCH_CF(,12/2014,,,,LOCAL)":null,"UNM^FF_FOR_EXCH_CF(,12/2015,,,,LOCAL)":null,"UNM^FF_FOR_EXCH_CF(,12/2016,,,,LOCAL)":null,"UNM^FF_FOR_EXCH_CF(,12/2017,,,,LOCAL)":null,"UNM^FF_FOR_EXCH_CF(,12/2018,,,,LOCAL)":null,"UNM^FF_FOR_EXCH_CF(,12/2019,,,,LOCAL)":null,"UNM^FF_FOR_EXCH_CF(,12/2020,,,,LOCAL)":null,"UNM^FF_FOR_EXCH_CF(,12/2021,,,,LOCAL)":null,"UNM^FF_FOR_EXCH_CF(,12/2022,,,,LOCAL)":null,"UNM^FF_CHG_CASH_CF(,12/2012,,,,LOCAL)":-39.3,"UNM^FF_CHG_CASH_CF(,12/2013,,,,LOCAL)":16.8,"UNM^FF_CHG_CASH_CF(,12/2014,,,,LOCAL)":8.4,"UNM^FF_CHG_CASH_CF(,12/2015,,,,LOCAL)":10.4,"UNM^FF_CHG_CASH_CF(,12/2016,,,,LOCAL)":-12.5,"UNM^FF_CHG_CASH_CF(,12/2017,,,,LOCAL)":-23.0,"UNM^FF_CHG_CASH_CF(,12/2018,,,,LOCAL)":16.6,"UNM^FF_CHG_CASH_CF(,12/2019,,,,LOCAL)":-9.9,"UNM^FF_CHG_CASH_CF(,12/2020,,,,LOCAL)":112.9,"UNM^FF_CHG_CASH_CF(,12/2021,,,,LOCAL)":-122.0,"UNM^FF_CHG_CASH_CF(,12/2022,,,,LOCAL)":44.2,"UNM^FF_FREE_CF(,12/2012,,,,LOCAL)":1245.8,"UNM^FF_FREE_CF(,12/2013,,,,LOCAL)":779.5,"UNM^FF_FREE_CF(,12/2014,,,,LOCAL)":949.7,"UNM^FF_FREE_CF(,12/2015,,,,LOCAL)":1017.7,"UNM^FF_FREE_CF(,12/2016,,,,LOCAL)":848.5,"UNM^FF_FREE_CF(,12/2017,,,,LOCAL)":862.8,"UNM^FF_FREE_CF(,12/2018,,,,LOCAL)":1176.8,"UNM^FF_FREE_CF(,12/2019,,,,LOCAL)":1361.5,"UNM^FF_FREE_CF(,12/2020,,,,LOCAL)":246.5,"UNM^FF_FREE_CF(,12/2021,,,,LOCAL)":1037.8,"UNM^FF_FREE_CF(,12/2022,,,,LOCAL)":1062.3,"UNM^FF_FREE_PS_CF(,12/2012,,,,LOCAL)":4.42154368590217,"UNM^FF_FREE_PS_CF(,12/2013,,,,LOCAL)":2.93101088478552,"UNM^FF_FREE_PS_CF(,12/2014,,,,LOCAL)":3.70032978405067,"UNM^FF_FREE_PS_CF(,12/2015,,,,LOCAL)":4.10603470501064,"UNM^FF_FREE_PS_CF(,12/2016,,,,LOCAL)":3.59565588831558,"UNM^FF_FREE_PS_CF(,12/2017,,,,LOCAL)":3.79527675432577,"UNM^FF_FREE_PS_CF(,12/2018,,,,LOCAL)":5.34766648519985,"UNM^FF_FREE_PS_CF(,12/2019,,,,LOCAL)":6.48783156321716,"UNM^FF_FREE_PS_CF(,12/2020,,,,LOCAL)":1.20978448167974,"UNM^FF_FREE_PS_CF(,12/2021,,,,LOCAL)":5.06619789609754,"UNM^FF_FREE_PS_CF(,12/2022,,,,LOCAL)":5.25606428993407,"UNM^FF_FCF_YLD(,12/2012,,,,LOCAL)":21.2370013732093,"UNM^FF_FCF_YLD(,12/2013,,,,LOCAL)":8.35521916985609,"UNM^FF_FCF_YLD(,12/2014,,,,LOCAL)":10.6087436469343,"UNM^FF_FCF_YLD(,12/2015,,,,LOCAL)":12.3341384950755,"UNM^FF_FCF_YLD(,12/2016,,,,LOCAL)":8.18496673871063,"UNM^FF_FCF_YLD(,12/2017,,,,LOCAL)":6.91433185339,"UNM^FF_FCF_YLD(,12/2018,,,,LOCAL)":18.2017239115039,"UNM^FF_FCF_YLD(,12/2019,,,,LOCAL)":22.2490794349011,"UNM^FF_FCF_YLD(,12/2020,,,,LOCAL)":5.27368998116713,"UNM^FF_FCF_YLD(,12/2021,,,,LOCAL)":20.6194460565631,"UNM^FF_FCF_YLD(,12/2022,,,,LOCAL)":12.8102956128054,"SP50^FG_NAME_IDX":"S&P 500","UNM^FG_COMPANY_NAME":"Unum Group"}]]></FdsFormulaCache>
</file>

<file path=customXml/itemProps1.xml><?xml version="1.0" encoding="utf-8"?>
<ds:datastoreItem xmlns:ds="http://schemas.openxmlformats.org/officeDocument/2006/customXml" ds:itemID="{7F656697-F960-4848-85B7-67FC72E7D6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28A81E-593C-4353-89EF-4E0DD9E96787}">
  <ds:schemaRefs>
    <ds:schemaRef ds:uri="http://purl.org/dc/elements/1.1/"/>
    <ds:schemaRef ds:uri="85243f50-f44a-44ed-9d41-854901fe9843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0f4248f1-ac4a-4777-9315-70a6ffe9d74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6F9B2C4-F36D-46EC-A971-D1EC9E034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4248f1-ac4a-4777-9315-70a6ffe9d740"/>
    <ds:schemaRef ds:uri="85243f50-f44a-44ed-9d41-854901fe98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0E661B0-9C71-431E-BCE4-5B78B1E01C12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Important Information</vt:lpstr>
      <vt:lpstr>Base Case</vt:lpstr>
      <vt:lpstr>Bull Case</vt:lpstr>
      <vt:lpstr>Bear Case</vt:lpstr>
      <vt:lpstr>Unum US Breakout - Base</vt:lpstr>
      <vt:lpstr>Unum US Breakout - Bull</vt:lpstr>
      <vt:lpstr>Unum US Breakout - Bear</vt:lpstr>
      <vt:lpstr>Quaterly Breakout</vt:lpstr>
      <vt:lpstr>PT Matrix</vt:lpstr>
      <vt:lpstr>Data Box</vt:lpstr>
      <vt:lpstr>How Do You Differ</vt:lpstr>
      <vt:lpstr>Comp Table</vt:lpstr>
      <vt:lpstr>Financial Forecasts</vt:lpstr>
      <vt:lpstr>GAAP-IFRS</vt:lpstr>
      <vt:lpstr>Broker Actual</vt:lpstr>
      <vt:lpstr>'Base Case'!ALLFINSTAT_RWIdentifier</vt:lpstr>
      <vt:lpstr>'Bear Case'!ALLFINSTAT_RWIdentifier</vt:lpstr>
      <vt:lpstr>'Broker Actual'!ALLFINSTAT_RWIdentifier</vt:lpstr>
      <vt:lpstr>'Bull Case'!ALLFINSTAT_RWIdentifier</vt:lpstr>
      <vt:lpstr>'GAAP-IFRS'!ALLFINSTAT_RWIdentifier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J. Valentine</dc:creator>
  <cp:keywords/>
  <dc:description/>
  <cp:lastModifiedBy>Kempton, Sam</cp:lastModifiedBy>
  <cp:revision/>
  <dcterms:created xsi:type="dcterms:W3CDTF">2019-04-26T00:38:25Z</dcterms:created>
  <dcterms:modified xsi:type="dcterms:W3CDTF">2023-12-02T17:05:42Z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owerlinkCOMAddIn.COMAddIn.WebAddinBridge.Options">
    <vt:lpwstr>{"port":50152,"version":"1.21.409"}</vt:lpwstr>
  </property>
  <property fmtid="{D5CDD505-2E9C-101B-9397-08002B2CF9AE}" pid="4" name="ContentTypeId">
    <vt:lpwstr>0x010100FB67FCAD2D4D974386D74DE63CCE3B37</vt:lpwstr>
  </property>
  <property fmtid="{D5CDD505-2E9C-101B-9397-08002B2CF9AE}" pid="5" name="MediaServiceImageTags">
    <vt:lpwstr/>
  </property>
</Properties>
</file>