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drawings/drawing2.xml" ContentType="application/vnd.openxmlformats-officedocument.drawing+xml"/>
  <Override PartName="/xl/ctrlProps/ctrlProp1.xml" ContentType="application/vnd.ms-excel.controlproperties+xml"/>
  <Override PartName="/xl/comments5.xml" ContentType="application/vnd.openxmlformats-officedocument.spreadsheetml.comments+xml"/>
  <Override PartName="/xl/drawings/drawing3.xml" ContentType="application/vnd.openxmlformats-officedocument.drawing+xml"/>
  <Override PartName="/xl/ctrlProps/ctrlProp2.xml" ContentType="application/vnd.ms-excel.controlproperties+xml"/>
  <Override PartName="/xl/comments6.xml" ContentType="application/vnd.openxmlformats-officedocument.spreadsheetml.comments+xml"/>
  <Override PartName="/xl/drawings/drawing4.xml" ContentType="application/vnd.openxmlformats-officedocument.drawing+xml"/>
  <Override PartName="/xl/ctrlProps/ctrlProp3.xml" ContentType="application/vnd.ms-excel.controlproperties+xml"/>
  <Override PartName="/xl/ctrlProps/ctrlProp4.xml" ContentType="application/vnd.ms-excel.controlproperties+xml"/>
  <Override PartName="/xl/comments7.xml" ContentType="application/vnd.openxmlformats-officedocument.spreadsheetml.comments+xml"/>
  <Override PartName="/xl/comments8.xml" ContentType="application/vnd.openxmlformats-officedocument.spreadsheetml.comments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Users\1632ambrosc\Documents\"/>
    </mc:Choice>
  </mc:AlternateContent>
  <xr:revisionPtr revIDLastSave="0" documentId="8_{9688A90D-6C91-4691-8A49-485C040DE109}" xr6:coauthVersionLast="47" xr6:coauthVersionMax="47" xr10:uidLastSave="{00000000-0000-0000-0000-000000000000}"/>
  <bookViews>
    <workbookView xWindow="28680" yWindow="-120" windowWidth="29040" windowHeight="15840" tabRatio="929" firstSheet="1" activeTab="3" xr2:uid="{25FE2FC1-8592-4E18-A8F1-DD2A13950F32}"/>
  </bookViews>
  <sheets>
    <sheet name="__FDSCACHE__" sheetId="3" state="veryHidden" r:id="rId1"/>
    <sheet name="Important Information" sheetId="2" r:id="rId2"/>
    <sheet name="Model &gt;&gt;" sheetId="13" r:id="rId3"/>
    <sheet name="API - BASE" sheetId="9" r:id="rId4"/>
    <sheet name="API - BULL" sheetId="23" r:id="rId5"/>
    <sheet name="API - BEAR" sheetId="24" r:id="rId6"/>
    <sheet name="BS - BASE" sheetId="19" r:id="rId7"/>
    <sheet name="BS - BULL" sheetId="21" r:id="rId8"/>
    <sheet name="BS - BEAR" sheetId="22" r:id="rId9"/>
    <sheet name="PT Matrix" sheetId="25" r:id="rId10"/>
    <sheet name="Data &gt;&gt;" sheetId="14" r:id="rId11"/>
    <sheet name="PE Calculation" sheetId="26" r:id="rId12"/>
    <sheet name="Quaterly Breakout" sheetId="15" r:id="rId13"/>
    <sheet name="HCI BS Data" sheetId="20" state="hidden" r:id="rId14"/>
    <sheet name="Company Breakdown" sheetId="11" state="hidden" r:id="rId15"/>
    <sheet name="GAAP-IFRS" sheetId="8" r:id="rId16"/>
    <sheet name="Broker Actual" sheetId="10" r:id="rId17"/>
    <sheet name="Write-Up Info &gt;&gt;" sheetId="28" r:id="rId18"/>
    <sheet name="Data Box" sheetId="27" r:id="rId19"/>
    <sheet name="How Do You Differ" sheetId="33" r:id="rId20"/>
    <sheet name="Comp Table" sheetId="31" r:id="rId21"/>
    <sheet name="Financial Forecasts" sheetId="32" r:id="rId22"/>
  </sheets>
  <externalReferences>
    <externalReference r:id="rId23"/>
  </externalReferences>
  <definedNames>
    <definedName name="ALLFINSTAT_RWIdentifier" localSheetId="3">'API - BASE'!$A$1</definedName>
    <definedName name="ALLFINSTAT_RWIdentifier" localSheetId="5">'API - BEAR'!$A$1</definedName>
    <definedName name="ALLFINSTAT_RWIdentifier" localSheetId="4">'API - BULL'!$A$1</definedName>
    <definedName name="ALLFINSTAT_RWIdentifier" localSheetId="16">'Broker Actual'!$A$1</definedName>
    <definedName name="ALLFINSTAT_RWIdentifier" localSheetId="15">'GAAP-IFRS'!$A$1</definedName>
    <definedName name="ALLFINSTAT_RWIdentifier" localSheetId="12">'Quaterly Breakout'!$A$1</definedName>
    <definedName name="K">'[1]Simple PE Formula'!$E$4</definedName>
    <definedName name="Payout">'[1]Simple PE Formula'!$E$6</definedName>
    <definedName name="ROE">'[1]Simple PE Formula'!$E$3</definedName>
    <definedName name="solver_cvg" localSheetId="3" hidden="1">0.0001</definedName>
    <definedName name="solver_cvg" localSheetId="5" hidden="1">0.0001</definedName>
    <definedName name="solver_cvg" localSheetId="4" hidden="1">0.0001</definedName>
    <definedName name="solver_drv" localSheetId="3" hidden="1">1</definedName>
    <definedName name="solver_drv" localSheetId="5" hidden="1">1</definedName>
    <definedName name="solver_drv" localSheetId="4" hidden="1">1</definedName>
    <definedName name="solver_eng" localSheetId="3" hidden="1">1</definedName>
    <definedName name="solver_eng" localSheetId="5" hidden="1">1</definedName>
    <definedName name="solver_eng" localSheetId="4" hidden="1">1</definedName>
    <definedName name="solver_est" localSheetId="3" hidden="1">1</definedName>
    <definedName name="solver_est" localSheetId="5" hidden="1">1</definedName>
    <definedName name="solver_est" localSheetId="4" hidden="1">1</definedName>
    <definedName name="solver_itr" localSheetId="3" hidden="1">2147483647</definedName>
    <definedName name="solver_itr" localSheetId="5" hidden="1">2147483647</definedName>
    <definedName name="solver_itr" localSheetId="4" hidden="1">2147483647</definedName>
    <definedName name="solver_mip" localSheetId="3" hidden="1">2147483647</definedName>
    <definedName name="solver_mip" localSheetId="5" hidden="1">2147483647</definedName>
    <definedName name="solver_mip" localSheetId="4" hidden="1">2147483647</definedName>
    <definedName name="solver_mni" localSheetId="3" hidden="1">30</definedName>
    <definedName name="solver_mni" localSheetId="5" hidden="1">30</definedName>
    <definedName name="solver_mni" localSheetId="4" hidden="1">30</definedName>
    <definedName name="solver_mrt" localSheetId="3" hidden="1">0.075</definedName>
    <definedName name="solver_mrt" localSheetId="5" hidden="1">0.075</definedName>
    <definedName name="solver_mrt" localSheetId="4" hidden="1">0.075</definedName>
    <definedName name="solver_msl" localSheetId="3" hidden="1">2</definedName>
    <definedName name="solver_msl" localSheetId="5" hidden="1">2</definedName>
    <definedName name="solver_msl" localSheetId="4" hidden="1">2</definedName>
    <definedName name="solver_neg" localSheetId="3" hidden="1">1</definedName>
    <definedName name="solver_neg" localSheetId="5" hidden="1">1</definedName>
    <definedName name="solver_neg" localSheetId="4" hidden="1">1</definedName>
    <definedName name="solver_nod" localSheetId="3" hidden="1">2147483647</definedName>
    <definedName name="solver_nod" localSheetId="5" hidden="1">2147483647</definedName>
    <definedName name="solver_nod" localSheetId="4" hidden="1">2147483647</definedName>
    <definedName name="solver_num" localSheetId="3" hidden="1">0</definedName>
    <definedName name="solver_num" localSheetId="5" hidden="1">0</definedName>
    <definedName name="solver_num" localSheetId="4" hidden="1">0</definedName>
    <definedName name="solver_nwt" localSheetId="3" hidden="1">1</definedName>
    <definedName name="solver_nwt" localSheetId="5" hidden="1">1</definedName>
    <definedName name="solver_nwt" localSheetId="4" hidden="1">1</definedName>
    <definedName name="solver_opt" localSheetId="3" hidden="1">'API - BASE'!$M$107</definedName>
    <definedName name="solver_opt" localSheetId="5" hidden="1">'API - BEAR'!$M$107</definedName>
    <definedName name="solver_opt" localSheetId="4" hidden="1">'API - BULL'!$M$107</definedName>
    <definedName name="solver_pre" localSheetId="3" hidden="1">0.000001</definedName>
    <definedName name="solver_pre" localSheetId="5" hidden="1">0.000001</definedName>
    <definedName name="solver_pre" localSheetId="4" hidden="1">0.000001</definedName>
    <definedName name="solver_rbv" localSheetId="3" hidden="1">1</definedName>
    <definedName name="solver_rbv" localSheetId="5" hidden="1">1</definedName>
    <definedName name="solver_rbv" localSheetId="4" hidden="1">1</definedName>
    <definedName name="solver_rlx" localSheetId="3" hidden="1">2</definedName>
    <definedName name="solver_rlx" localSheetId="5" hidden="1">2</definedName>
    <definedName name="solver_rlx" localSheetId="4" hidden="1">2</definedName>
    <definedName name="solver_rsd" localSheetId="3" hidden="1">0</definedName>
    <definedName name="solver_rsd" localSheetId="5" hidden="1">0</definedName>
    <definedName name="solver_rsd" localSheetId="4" hidden="1">0</definedName>
    <definedName name="solver_scl" localSheetId="3" hidden="1">1</definedName>
    <definedName name="solver_scl" localSheetId="5" hidden="1">1</definedName>
    <definedName name="solver_scl" localSheetId="4" hidden="1">1</definedName>
    <definedName name="solver_sho" localSheetId="3" hidden="1">2</definedName>
    <definedName name="solver_sho" localSheetId="5" hidden="1">2</definedName>
    <definedName name="solver_sho" localSheetId="4" hidden="1">2</definedName>
    <definedName name="solver_ssz" localSheetId="3" hidden="1">100</definedName>
    <definedName name="solver_ssz" localSheetId="5" hidden="1">100</definedName>
    <definedName name="solver_ssz" localSheetId="4" hidden="1">100</definedName>
    <definedName name="solver_tim" localSheetId="3" hidden="1">2147483647</definedName>
    <definedName name="solver_tim" localSheetId="5" hidden="1">2147483647</definedName>
    <definedName name="solver_tim" localSheetId="4" hidden="1">2147483647</definedName>
    <definedName name="solver_tol" localSheetId="3" hidden="1">0.01</definedName>
    <definedName name="solver_tol" localSheetId="5" hidden="1">0.01</definedName>
    <definedName name="solver_tol" localSheetId="4" hidden="1">0.01</definedName>
    <definedName name="solver_typ" localSheetId="3" hidden="1">3</definedName>
    <definedName name="solver_typ" localSheetId="5" hidden="1">3</definedName>
    <definedName name="solver_typ" localSheetId="4" hidden="1">3</definedName>
    <definedName name="solver_val" localSheetId="3" hidden="1">11016</definedName>
    <definedName name="solver_val" localSheetId="5" hidden="1">11016</definedName>
    <definedName name="solver_val" localSheetId="4" hidden="1">11016</definedName>
    <definedName name="solver_ver" localSheetId="3" hidden="1">3</definedName>
    <definedName name="solver_ver" localSheetId="5" hidden="1">3</definedName>
    <definedName name="solver_ver" localSheetId="4" hidden="1">3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3" i="32" l="1"/>
  <c r="C19" i="32"/>
  <c r="C23" i="32"/>
  <c r="R65" i="22"/>
  <c r="T26" i="19"/>
  <c r="M79" i="9"/>
  <c r="E62" i="19"/>
  <c r="D21" i="33"/>
  <c r="R27" i="21" l="1"/>
  <c r="R67" i="22"/>
  <c r="S67" i="22"/>
  <c r="T67" i="22"/>
  <c r="M131" i="9"/>
  <c r="R67" i="21"/>
  <c r="S67" i="21"/>
  <c r="T67" i="21"/>
  <c r="O74" i="9"/>
  <c r="O89" i="9"/>
  <c r="O82" i="9"/>
  <c r="H5" i="27" a="1"/>
  <c r="H4" i="27" a="1"/>
  <c r="H3" i="27" a="1"/>
  <c r="H5" i="27" l="1"/>
  <c r="H4" i="27"/>
  <c r="H3" i="27"/>
  <c r="E13" i="33" l="1" a="1"/>
  <c r="E13" i="33" l="1"/>
  <c r="D13" i="33" a="1"/>
  <c r="D13" i="33" l="1"/>
  <c r="C13" i="33" a="1"/>
  <c r="C13" i="33" l="1"/>
  <c r="B13" i="33" a="1"/>
  <c r="B13" i="33" l="1"/>
  <c r="E9" i="33" a="1"/>
  <c r="E9" i="33" l="1"/>
  <c r="D9" i="33" a="1"/>
  <c r="D9" i="33" l="1"/>
  <c r="C9" i="33" a="1"/>
  <c r="C9" i="33" l="1"/>
  <c r="B9" i="33" a="1"/>
  <c r="B9" i="33" l="1"/>
  <c r="E7" i="33" a="1"/>
  <c r="E7" i="33" l="1"/>
  <c r="D7" i="33" a="1"/>
  <c r="D7" i="33" l="1"/>
  <c r="C7" i="33" a="1"/>
  <c r="C7" i="33" l="1"/>
  <c r="B7" i="33" a="1"/>
  <c r="B7" i="33" l="1"/>
  <c r="E6" i="33" a="1"/>
  <c r="E6" i="33" l="1"/>
  <c r="D6" i="33" a="1"/>
  <c r="D6" i="33" l="1"/>
  <c r="C6" i="33" a="1"/>
  <c r="C6" i="33" l="1"/>
  <c r="B6" i="33" a="1"/>
  <c r="B6" i="33" l="1"/>
  <c r="D2" i="33" a="1"/>
  <c r="D2" i="33" l="1"/>
  <c r="D1" i="33" a="1"/>
  <c r="D1" i="33" l="1"/>
  <c r="H9" i="27" a="1"/>
  <c r="H9" i="27" l="1"/>
  <c r="H8" i="27" a="1"/>
  <c r="H8" i="27" l="1"/>
  <c r="E4" i="27" a="1"/>
  <c r="E4" i="27" l="1"/>
  <c r="D4" i="27" a="1"/>
  <c r="D4" i="27" l="1"/>
  <c r="B11" i="27" a="1"/>
  <c r="B11" i="27" l="1"/>
  <c r="B10" i="27" a="1"/>
  <c r="B10" i="27" l="1"/>
  <c r="B9" i="27" a="1"/>
  <c r="B9" i="27" l="1"/>
  <c r="B8" i="27" a="1"/>
  <c r="B8" i="27" l="1"/>
  <c r="B7" i="27" a="1"/>
  <c r="B7" i="27" l="1"/>
  <c r="B4" i="27" a="1"/>
  <c r="B4" i="27" l="1"/>
  <c r="B2" i="27" a="1"/>
  <c r="B2" i="27" l="1"/>
  <c r="AD251" i="24" l="1" a="1"/>
  <c r="AD251" i="24" l="1"/>
  <c r="AD250" i="24" a="1"/>
  <c r="AD250" i="24" l="1"/>
  <c r="AD249" i="24" a="1"/>
  <c r="AD249" i="24" l="1"/>
  <c r="AD246" i="24" a="1"/>
  <c r="AD246" i="24" l="1"/>
  <c r="AD241" i="24" a="1"/>
  <c r="AD241" i="24" l="1"/>
  <c r="AD232" i="24" a="1"/>
  <c r="AD232" i="24" l="1"/>
  <c r="AD222" i="24" a="1"/>
  <c r="AD222" i="24" l="1"/>
  <c r="AD219" i="24" a="1"/>
  <c r="AD219" i="24" l="1"/>
  <c r="AD208" i="24" a="1"/>
  <c r="AD208" i="24" l="1"/>
  <c r="AB251" i="24" a="1"/>
  <c r="AB251" i="24" l="1"/>
  <c r="AA251" i="24" a="1"/>
  <c r="AA251" i="24" l="1"/>
  <c r="Z251" i="24" a="1"/>
  <c r="Z251" i="24" l="1"/>
  <c r="AB246" i="24" a="1"/>
  <c r="AB246" i="24" l="1"/>
  <c r="AA246" i="24" a="1"/>
  <c r="AA246" i="24" l="1"/>
  <c r="Z246" i="24" a="1"/>
  <c r="Z246" i="24" l="1"/>
  <c r="AB232" i="24" a="1"/>
  <c r="AB232" i="24" l="1"/>
  <c r="AA232" i="24" a="1"/>
  <c r="AA232" i="24" l="1"/>
  <c r="Z232" i="24" a="1"/>
  <c r="Z232" i="24" l="1"/>
  <c r="AB222" i="24" a="1"/>
  <c r="AB222" i="24" l="1"/>
  <c r="AA222" i="24" a="1"/>
  <c r="AA222" i="24" l="1"/>
  <c r="Z222" i="24" a="1"/>
  <c r="Z222" i="24" l="1"/>
  <c r="AB219" i="24" a="1"/>
  <c r="AB219" i="24" l="1"/>
  <c r="AA219" i="24" a="1"/>
  <c r="AA219" i="24" l="1"/>
  <c r="Z219" i="24" a="1"/>
  <c r="Z219" i="24" l="1"/>
  <c r="AB208" i="24" a="1"/>
  <c r="AB208" i="24" l="1"/>
  <c r="AA208" i="24" a="1"/>
  <c r="AA208" i="24" l="1"/>
  <c r="Z208" i="24" a="1"/>
  <c r="Z208" i="24" l="1"/>
  <c r="AB173" i="24" a="1"/>
  <c r="AB173" i="24" l="1"/>
  <c r="AA173" i="24" a="1"/>
  <c r="AA173" i="24" l="1"/>
  <c r="Z173" i="24" a="1"/>
  <c r="Z173" i="24" l="1"/>
  <c r="AB169" i="24" a="1"/>
  <c r="AB169" i="24" l="1"/>
  <c r="AA169" i="24" a="1"/>
  <c r="AA169" i="24" l="1"/>
  <c r="Z169" i="24" a="1"/>
  <c r="Z169" i="24" l="1"/>
  <c r="AB166" i="24" a="1"/>
  <c r="AB166" i="24" l="1"/>
  <c r="AA166" i="24" a="1"/>
  <c r="AA166" i="24" l="1"/>
  <c r="Z166" i="24" a="1"/>
  <c r="Z166" i="24" l="1"/>
  <c r="AB162" i="24" a="1"/>
  <c r="AB162" i="24" l="1"/>
  <c r="AA162" i="24" a="1"/>
  <c r="AA162" i="24" l="1"/>
  <c r="Z162" i="24" a="1"/>
  <c r="Z162" i="24" l="1"/>
  <c r="AB159" i="24" a="1"/>
  <c r="AB159" i="24" l="1"/>
  <c r="AA159" i="24" a="1"/>
  <c r="AA159" i="24" l="1"/>
  <c r="Z159" i="24" a="1"/>
  <c r="Z159" i="24" l="1"/>
  <c r="AB157" i="24" a="1"/>
  <c r="AB157" i="24" l="1"/>
  <c r="AA157" i="24" a="1"/>
  <c r="AA157" i="24" l="1"/>
  <c r="Z157" i="24" a="1"/>
  <c r="Z157" i="24" l="1"/>
  <c r="AB128" i="24" a="1"/>
  <c r="AB128" i="24" l="1"/>
  <c r="AA128" i="24" a="1"/>
  <c r="AA128" i="24" l="1"/>
  <c r="Z128" i="24" a="1"/>
  <c r="Z128" i="24" l="1"/>
  <c r="AB123" i="24" a="1"/>
  <c r="AB123" i="24" l="1"/>
  <c r="AA123" i="24" a="1"/>
  <c r="AA123" i="24" l="1"/>
  <c r="Z123" i="24" a="1"/>
  <c r="Z123" i="24" l="1"/>
  <c r="AB121" i="24" a="1"/>
  <c r="AB121" i="24" l="1"/>
  <c r="AA121" i="24" a="1"/>
  <c r="AA121" i="24" l="1"/>
  <c r="Z121" i="24" a="1"/>
  <c r="Z121" i="24" l="1"/>
  <c r="AB114" i="24" a="1"/>
  <c r="AB114" i="24" l="1"/>
  <c r="AA114" i="24" a="1"/>
  <c r="AA114" i="24" l="1"/>
  <c r="Z114" i="24" a="1"/>
  <c r="Z114" i="24" l="1"/>
  <c r="AB107" i="24" a="1"/>
  <c r="AB107" i="24" l="1"/>
  <c r="AA107" i="24" a="1"/>
  <c r="AA107" i="24" l="1"/>
  <c r="Z107" i="24" a="1"/>
  <c r="Z107" i="24" l="1"/>
  <c r="AB57" i="24" a="1"/>
  <c r="AB57" i="24" l="1"/>
  <c r="AA57" i="24" a="1"/>
  <c r="AA57" i="24" l="1"/>
  <c r="Z57" i="24" a="1"/>
  <c r="Z57" i="24" l="1"/>
  <c r="AB7" i="24" a="1"/>
  <c r="AB7" i="24" l="1"/>
  <c r="AA7" i="24" a="1"/>
  <c r="AA7" i="24" l="1"/>
  <c r="Z7" i="24" a="1"/>
  <c r="Z7" i="24" l="1"/>
  <c r="L7" i="24" a="1"/>
  <c r="L7" i="24" l="1"/>
  <c r="L206" i="24" a="1"/>
  <c r="K7" i="24" a="1"/>
  <c r="K7" i="24" l="1"/>
  <c r="L206" i="24"/>
  <c r="K206" i="24" a="1"/>
  <c r="J7" i="24" a="1"/>
  <c r="J7" i="24" l="1"/>
  <c r="K206" i="24"/>
  <c r="J206" i="24" a="1"/>
  <c r="I7" i="24" a="1"/>
  <c r="I7" i="24" l="1"/>
  <c r="J206" i="24"/>
  <c r="I206" i="24" a="1"/>
  <c r="H7" i="24" a="1"/>
  <c r="H7" i="24" l="1"/>
  <c r="I206" i="24"/>
  <c r="H206" i="24" a="1"/>
  <c r="G7" i="24" a="1"/>
  <c r="G7" i="24" l="1"/>
  <c r="H206" i="24"/>
  <c r="G206" i="24" a="1"/>
  <c r="F7" i="24" a="1"/>
  <c r="F7" i="24" l="1"/>
  <c r="G206" i="24"/>
  <c r="F206" i="24" a="1"/>
  <c r="E7" i="24" a="1"/>
  <c r="E7" i="24" l="1"/>
  <c r="F206" i="24"/>
  <c r="E206" i="24" a="1"/>
  <c r="D7" i="24" a="1"/>
  <c r="D7" i="24" l="1"/>
  <c r="E206" i="24"/>
  <c r="D206" i="24" a="1"/>
  <c r="C7" i="24" a="1"/>
  <c r="C7" i="24" l="1"/>
  <c r="D206" i="24"/>
  <c r="C206" i="24" a="1"/>
  <c r="B7" i="24" a="1"/>
  <c r="A4" i="24"/>
  <c r="B7" i="24" l="1"/>
  <c r="C206" i="24"/>
  <c r="B206" i="24" a="1"/>
  <c r="AD251" i="23" a="1"/>
  <c r="AD251" i="23" l="1"/>
  <c r="B206" i="24"/>
  <c r="AD250" i="23" a="1"/>
  <c r="AD250" i="23" l="1"/>
  <c r="AD249" i="23" a="1"/>
  <c r="AD249" i="23" l="1"/>
  <c r="AD246" i="23" a="1"/>
  <c r="AD246" i="23" l="1"/>
  <c r="AD241" i="23" a="1"/>
  <c r="AD241" i="23" l="1"/>
  <c r="AD232" i="23" a="1"/>
  <c r="AD232" i="23" l="1"/>
  <c r="AD222" i="23" a="1"/>
  <c r="AD222" i="23" l="1"/>
  <c r="AD219" i="23" a="1"/>
  <c r="AD219" i="23" l="1"/>
  <c r="AD208" i="23" a="1"/>
  <c r="AD208" i="23" l="1"/>
  <c r="AB251" i="23" a="1"/>
  <c r="AB251" i="23" l="1"/>
  <c r="AA251" i="23" a="1"/>
  <c r="AA251" i="23" l="1"/>
  <c r="Z251" i="23" a="1"/>
  <c r="Z251" i="23" l="1"/>
  <c r="AB246" i="23" a="1"/>
  <c r="AB246" i="23" l="1"/>
  <c r="AA246" i="23" a="1"/>
  <c r="AA246" i="23" l="1"/>
  <c r="Z246" i="23" a="1"/>
  <c r="Z246" i="23" l="1"/>
  <c r="AB232" i="23" a="1"/>
  <c r="AB232" i="23" l="1"/>
  <c r="AA232" i="23" a="1"/>
  <c r="AA232" i="23" l="1"/>
  <c r="Z232" i="23" a="1"/>
  <c r="Z232" i="23" l="1"/>
  <c r="AB222" i="23" a="1"/>
  <c r="AB222" i="23" l="1"/>
  <c r="AA222" i="23" a="1"/>
  <c r="AA222" i="23" l="1"/>
  <c r="Z222" i="23" a="1"/>
  <c r="Z222" i="23" l="1"/>
  <c r="AB219" i="23" a="1"/>
  <c r="AB219" i="23" l="1"/>
  <c r="AA219" i="23" a="1"/>
  <c r="AA219" i="23" l="1"/>
  <c r="Z219" i="23" a="1"/>
  <c r="Z219" i="23" l="1"/>
  <c r="AB208" i="23" a="1"/>
  <c r="AB208" i="23" l="1"/>
  <c r="AA208" i="23" a="1"/>
  <c r="AA208" i="23" l="1"/>
  <c r="Z208" i="23" a="1"/>
  <c r="Z208" i="23" l="1"/>
  <c r="AB173" i="23" a="1"/>
  <c r="AB173" i="23" l="1"/>
  <c r="AA173" i="23" a="1"/>
  <c r="AA173" i="23" l="1"/>
  <c r="Z173" i="23" a="1"/>
  <c r="Z173" i="23" l="1"/>
  <c r="AB169" i="23" a="1"/>
  <c r="AB169" i="23" l="1"/>
  <c r="AA169" i="23" a="1"/>
  <c r="AA169" i="23" l="1"/>
  <c r="Z169" i="23" a="1"/>
  <c r="Z169" i="23" l="1"/>
  <c r="AB166" i="23" a="1"/>
  <c r="AB166" i="23" l="1"/>
  <c r="AA166" i="23" a="1"/>
  <c r="AA166" i="23" l="1"/>
  <c r="Z166" i="23" a="1"/>
  <c r="Z166" i="23" l="1"/>
  <c r="AB162" i="23" a="1"/>
  <c r="AB162" i="23" l="1"/>
  <c r="AA162" i="23" a="1"/>
  <c r="AA162" i="23" l="1"/>
  <c r="Z162" i="23" a="1"/>
  <c r="Z162" i="23" l="1"/>
  <c r="AB159" i="23" a="1"/>
  <c r="AB159" i="23" l="1"/>
  <c r="AA159" i="23" a="1"/>
  <c r="AA159" i="23" l="1"/>
  <c r="Z159" i="23" a="1"/>
  <c r="Z159" i="23" l="1"/>
  <c r="AB157" i="23" a="1"/>
  <c r="AB157" i="23" l="1"/>
  <c r="AA157" i="23" a="1"/>
  <c r="AA157" i="23" l="1"/>
  <c r="Z157" i="23" a="1"/>
  <c r="Z157" i="23" l="1"/>
  <c r="AB128" i="23" a="1"/>
  <c r="AB128" i="23" l="1"/>
  <c r="AA128" i="23" a="1"/>
  <c r="AA128" i="23" l="1"/>
  <c r="Z128" i="23" a="1"/>
  <c r="Z128" i="23" l="1"/>
  <c r="AB123" i="23" a="1"/>
  <c r="AB123" i="23" l="1"/>
  <c r="AA123" i="23" a="1"/>
  <c r="AA123" i="23" l="1"/>
  <c r="Z123" i="23" a="1"/>
  <c r="Z123" i="23" l="1"/>
  <c r="AB121" i="23" a="1"/>
  <c r="AB121" i="23" l="1"/>
  <c r="AA121" i="23" a="1"/>
  <c r="AA121" i="23" l="1"/>
  <c r="Z121" i="23" a="1"/>
  <c r="Z121" i="23" l="1"/>
  <c r="AB114" i="23" a="1"/>
  <c r="AB114" i="23" l="1"/>
  <c r="AA114" i="23" a="1"/>
  <c r="AA114" i="23" l="1"/>
  <c r="Z114" i="23" a="1"/>
  <c r="Z114" i="23" l="1"/>
  <c r="AB107" i="23" a="1"/>
  <c r="AB107" i="23" l="1"/>
  <c r="AA107" i="23" a="1"/>
  <c r="AA107" i="23" l="1"/>
  <c r="Z107" i="23" a="1"/>
  <c r="Z107" i="23" l="1"/>
  <c r="AB57" i="23" a="1"/>
  <c r="AB57" i="23" l="1"/>
  <c r="AA57" i="23" a="1"/>
  <c r="AA57" i="23" l="1"/>
  <c r="Z57" i="23" a="1"/>
  <c r="Z57" i="23" l="1"/>
  <c r="AB7" i="23" a="1"/>
  <c r="AB7" i="23" l="1"/>
  <c r="AA7" i="23" a="1"/>
  <c r="AA7" i="23" l="1"/>
  <c r="Z7" i="23" a="1"/>
  <c r="Z7" i="23" l="1"/>
  <c r="L7" i="23" a="1"/>
  <c r="L7" i="23" l="1"/>
  <c r="L206" i="23" a="1"/>
  <c r="K7" i="23" a="1"/>
  <c r="K7" i="23" l="1"/>
  <c r="L206" i="23"/>
  <c r="K206" i="23" a="1"/>
  <c r="J7" i="23" a="1"/>
  <c r="J7" i="23" l="1"/>
  <c r="K206" i="23"/>
  <c r="J206" i="23" a="1"/>
  <c r="I7" i="23" a="1"/>
  <c r="I7" i="23" l="1"/>
  <c r="J206" i="23"/>
  <c r="I206" i="23" a="1"/>
  <c r="H7" i="23" a="1"/>
  <c r="H7" i="23" l="1"/>
  <c r="I206" i="23"/>
  <c r="H206" i="23" a="1"/>
  <c r="G7" i="23" a="1"/>
  <c r="G7" i="23" l="1"/>
  <c r="H206" i="23"/>
  <c r="G206" i="23" a="1"/>
  <c r="F7" i="23" a="1"/>
  <c r="F7" i="23" l="1"/>
  <c r="G206" i="23"/>
  <c r="F206" i="23" a="1"/>
  <c r="E7" i="23" a="1"/>
  <c r="E7" i="23" l="1"/>
  <c r="F206" i="23"/>
  <c r="E206" i="23" a="1"/>
  <c r="D7" i="23" a="1"/>
  <c r="D7" i="23" l="1"/>
  <c r="E206" i="23"/>
  <c r="D206" i="23" a="1"/>
  <c r="C7" i="23" a="1"/>
  <c r="C7" i="23" l="1"/>
  <c r="D206" i="23"/>
  <c r="C206" i="23" a="1"/>
  <c r="B7" i="23" a="1"/>
  <c r="A4" i="23"/>
  <c r="B7" i="23" l="1"/>
  <c r="C206" i="23"/>
  <c r="B206" i="23" a="1"/>
  <c r="AD251" i="9" a="1"/>
  <c r="AD251" i="9" l="1"/>
  <c r="B206" i="23"/>
  <c r="AD250" i="9" a="1"/>
  <c r="AD250" i="9" l="1"/>
  <c r="AD249" i="9" a="1"/>
  <c r="AD249" i="9" l="1"/>
  <c r="AD246" i="9" a="1"/>
  <c r="AD246" i="9" l="1"/>
  <c r="AD241" i="9" a="1"/>
  <c r="AD241" i="9" l="1"/>
  <c r="AD232" i="9" a="1"/>
  <c r="AD232" i="9" l="1"/>
  <c r="AD222" i="9" a="1"/>
  <c r="AD222" i="9" l="1"/>
  <c r="AD219" i="9" a="1"/>
  <c r="AD219" i="9" l="1"/>
  <c r="AD208" i="9" a="1"/>
  <c r="AD208" i="9" l="1"/>
  <c r="AB251" i="9" a="1"/>
  <c r="AB251" i="9" l="1"/>
  <c r="AA251" i="9" a="1"/>
  <c r="AA251" i="9" l="1"/>
  <c r="Z251" i="9" a="1"/>
  <c r="Z251" i="9" l="1"/>
  <c r="AB246" i="9" a="1"/>
  <c r="AB246" i="9" l="1"/>
  <c r="AA246" i="9" a="1"/>
  <c r="AA246" i="9" l="1"/>
  <c r="Z246" i="9" a="1"/>
  <c r="Z246" i="9" l="1"/>
  <c r="AB232" i="9" a="1"/>
  <c r="AB232" i="9" l="1"/>
  <c r="AA232" i="9" a="1"/>
  <c r="AA232" i="9" l="1"/>
  <c r="Z232" i="9" a="1"/>
  <c r="Z232" i="9" l="1"/>
  <c r="AB222" i="9" a="1"/>
  <c r="AB222" i="9" l="1"/>
  <c r="AA222" i="9" a="1"/>
  <c r="AA222" i="9" l="1"/>
  <c r="Z222" i="9" a="1"/>
  <c r="Z222" i="9" l="1"/>
  <c r="AB219" i="9" a="1"/>
  <c r="AB219" i="9" l="1"/>
  <c r="AA219" i="9" a="1"/>
  <c r="AA219" i="9" l="1"/>
  <c r="Z219" i="9" a="1"/>
  <c r="Z219" i="9" l="1"/>
  <c r="AB208" i="9" a="1"/>
  <c r="AB208" i="9" l="1"/>
  <c r="AA208" i="9" a="1"/>
  <c r="AA208" i="9" l="1"/>
  <c r="Z208" i="9" a="1"/>
  <c r="Z208" i="9" l="1"/>
  <c r="AB173" i="9" a="1"/>
  <c r="AB173" i="9" l="1"/>
  <c r="AA173" i="9" a="1"/>
  <c r="AA173" i="9" l="1"/>
  <c r="Z173" i="9" a="1"/>
  <c r="Z173" i="9" l="1"/>
  <c r="AB169" i="9" a="1"/>
  <c r="AB169" i="9" l="1"/>
  <c r="AA169" i="9" a="1"/>
  <c r="AA169" i="9" l="1"/>
  <c r="Z169" i="9" a="1"/>
  <c r="Z169" i="9" l="1"/>
  <c r="AB166" i="9" a="1"/>
  <c r="AB166" i="9" l="1"/>
  <c r="AA166" i="9" a="1"/>
  <c r="AA166" i="9" l="1"/>
  <c r="Z166" i="9" a="1"/>
  <c r="Z166" i="9" l="1"/>
  <c r="AB162" i="9" a="1"/>
  <c r="AB162" i="9" l="1"/>
  <c r="AA162" i="9" a="1"/>
  <c r="AA162" i="9" l="1"/>
  <c r="Z162" i="9" a="1"/>
  <c r="Z162" i="9" l="1"/>
  <c r="AB159" i="9" a="1"/>
  <c r="AB159" i="9" l="1"/>
  <c r="AA159" i="9" a="1"/>
  <c r="AA159" i="9" l="1"/>
  <c r="Z159" i="9" a="1"/>
  <c r="Z159" i="9" l="1"/>
  <c r="AB157" i="9" a="1"/>
  <c r="AB157" i="9" l="1"/>
  <c r="AA157" i="9" a="1"/>
  <c r="AA157" i="9" l="1"/>
  <c r="Z157" i="9" a="1"/>
  <c r="Z157" i="9" l="1"/>
  <c r="AB128" i="9" a="1"/>
  <c r="AB128" i="9" l="1"/>
  <c r="AA128" i="9" a="1"/>
  <c r="AA128" i="9" l="1"/>
  <c r="Z128" i="9" a="1"/>
  <c r="Z128" i="9" l="1"/>
  <c r="AB123" i="9" a="1"/>
  <c r="AB123" i="9" l="1"/>
  <c r="AA123" i="9" a="1"/>
  <c r="AA123" i="9" l="1"/>
  <c r="Z123" i="9" a="1"/>
  <c r="Z123" i="9" l="1"/>
  <c r="AB121" i="9" a="1"/>
  <c r="AB121" i="9" l="1"/>
  <c r="AA121" i="9" a="1"/>
  <c r="AA121" i="9" l="1"/>
  <c r="Z121" i="9" a="1"/>
  <c r="Z121" i="9" l="1"/>
  <c r="AB114" i="9" a="1"/>
  <c r="AB114" i="9" l="1"/>
  <c r="AA114" i="9" a="1"/>
  <c r="AA114" i="9" l="1"/>
  <c r="Z114" i="9" a="1"/>
  <c r="Z114" i="9" l="1"/>
  <c r="AB107" i="9" a="1"/>
  <c r="AB107" i="9" l="1"/>
  <c r="AA107" i="9" a="1"/>
  <c r="AA107" i="9" l="1"/>
  <c r="Z107" i="9" a="1"/>
  <c r="Z107" i="9" l="1"/>
  <c r="AB57" i="9" a="1"/>
  <c r="AB57" i="9" l="1"/>
  <c r="AA57" i="9" a="1"/>
  <c r="AA57" i="9" l="1"/>
  <c r="Z57" i="9" a="1"/>
  <c r="Z57" i="9" l="1"/>
  <c r="AB7" i="9" a="1"/>
  <c r="AB7" i="9" l="1"/>
  <c r="AA7" i="9" a="1"/>
  <c r="AA7" i="9" l="1"/>
  <c r="Z7" i="9" a="1"/>
  <c r="Z7" i="9" l="1"/>
  <c r="L7" i="9" a="1"/>
  <c r="L7" i="9" l="1"/>
  <c r="L206" i="9" a="1"/>
  <c r="K7" i="9" a="1"/>
  <c r="K7" i="9" l="1"/>
  <c r="L206" i="9"/>
  <c r="K206" i="9" a="1"/>
  <c r="J7" i="9" a="1"/>
  <c r="J7" i="9" l="1"/>
  <c r="K206" i="9"/>
  <c r="J206" i="9" a="1"/>
  <c r="I7" i="9" a="1"/>
  <c r="I7" i="9" l="1"/>
  <c r="J206" i="9"/>
  <c r="I206" i="9" a="1"/>
  <c r="H7" i="9" a="1"/>
  <c r="H7" i="9" l="1"/>
  <c r="I206" i="9"/>
  <c r="H206" i="9" a="1"/>
  <c r="G7" i="9" a="1"/>
  <c r="G7" i="9" l="1"/>
  <c r="H206" i="9"/>
  <c r="G206" i="9" a="1"/>
  <c r="F7" i="9" a="1"/>
  <c r="F7" i="9" l="1"/>
  <c r="G206" i="9"/>
  <c r="F206" i="9" a="1"/>
  <c r="E7" i="9" a="1"/>
  <c r="E7" i="9" l="1"/>
  <c r="F206" i="9"/>
  <c r="E206" i="9" a="1"/>
  <c r="D7" i="9" a="1"/>
  <c r="D7" i="9" l="1"/>
  <c r="E206" i="9"/>
  <c r="D206" i="9" a="1"/>
  <c r="C7" i="9" a="1"/>
  <c r="C7" i="9" l="1"/>
  <c r="D206" i="9"/>
  <c r="C206" i="9" a="1"/>
  <c r="B7" i="9" a="1"/>
  <c r="A4" i="9"/>
  <c r="B7" i="9" l="1"/>
  <c r="C206" i="9"/>
  <c r="J3" i="15"/>
  <c r="I3" i="15"/>
  <c r="B206" i="9" a="1"/>
  <c r="B206" i="9" l="1"/>
  <c r="E12" i="27"/>
  <c r="F12" i="27" l="1"/>
  <c r="V33" i="15" l="1"/>
  <c r="V37" i="15"/>
  <c r="V40" i="15"/>
  <c r="V17" i="15"/>
  <c r="V21" i="15" s="1"/>
  <c r="V14" i="15"/>
  <c r="V11" i="15"/>
  <c r="V9" i="15"/>
  <c r="V2" i="15"/>
  <c r="V6" i="15" s="1"/>
  <c r="N17" i="15"/>
  <c r="G2" i="15"/>
  <c r="L18" i="15"/>
  <c r="K18" i="15"/>
  <c r="J18" i="15"/>
  <c r="F4" i="26"/>
  <c r="V4" i="15" l="1"/>
  <c r="B8" i="33" l="1"/>
  <c r="E4" i="33" l="1"/>
  <c r="D4" i="33"/>
  <c r="C4" i="33"/>
  <c r="B21" i="33" l="1"/>
  <c r="E21" i="33"/>
  <c r="D8" i="33"/>
  <c r="D10" i="33" s="1"/>
  <c r="C21" i="33"/>
  <c r="B10" i="33" l="1"/>
  <c r="B22" i="33" s="1"/>
  <c r="D14" i="33"/>
  <c r="D23" i="33"/>
  <c r="D24" i="33" s="1"/>
  <c r="C14" i="33"/>
  <c r="E14" i="33"/>
  <c r="C8" i="33"/>
  <c r="C10" i="33" s="1"/>
  <c r="C23" i="33" s="1"/>
  <c r="B17" i="33"/>
  <c r="B14" i="33"/>
  <c r="E8" i="33"/>
  <c r="E10" i="33" s="1"/>
  <c r="E23" i="33" s="1"/>
  <c r="E24" i="33" s="1"/>
  <c r="C24" i="33" l="1"/>
  <c r="B23" i="33"/>
  <c r="B24" i="33" s="1"/>
  <c r="B18" i="33"/>
  <c r="B26" i="33" l="1"/>
  <c r="B27" i="33" s="1"/>
  <c r="B3" i="27" l="1"/>
  <c r="F5" i="25" l="1"/>
  <c r="N131" i="9"/>
  <c r="O131" i="9" s="1"/>
  <c r="B11" i="25"/>
  <c r="B10" i="25"/>
  <c r="R66" i="22"/>
  <c r="S66" i="22" s="1"/>
  <c r="S61" i="22"/>
  <c r="T61" i="22" s="1"/>
  <c r="T60" i="22"/>
  <c r="R59" i="22"/>
  <c r="T57" i="22"/>
  <c r="L53" i="22"/>
  <c r="K53" i="22"/>
  <c r="J53" i="22"/>
  <c r="I53" i="22"/>
  <c r="H53" i="22"/>
  <c r="M53" i="22" s="1"/>
  <c r="L50" i="22"/>
  <c r="K50" i="22"/>
  <c r="J50" i="22"/>
  <c r="I50" i="22"/>
  <c r="H50" i="22"/>
  <c r="K49" i="22"/>
  <c r="J49" i="22"/>
  <c r="I49" i="22"/>
  <c r="H49" i="22"/>
  <c r="Q33" i="22"/>
  <c r="R33" i="22" s="1"/>
  <c r="S33" i="22" s="1"/>
  <c r="T33" i="22" s="1"/>
  <c r="P33" i="22"/>
  <c r="R31" i="22"/>
  <c r="S31" i="22" s="1"/>
  <c r="T31" i="22" s="1"/>
  <c r="Q31" i="22"/>
  <c r="P31" i="22"/>
  <c r="O31" i="22"/>
  <c r="N31" i="22"/>
  <c r="M31" i="22"/>
  <c r="L31" i="22"/>
  <c r="K31" i="22"/>
  <c r="J31" i="22"/>
  <c r="I31" i="22"/>
  <c r="H31" i="22"/>
  <c r="Q30" i="22"/>
  <c r="R30" i="22" s="1"/>
  <c r="P30" i="22"/>
  <c r="O30" i="22"/>
  <c r="N30" i="22"/>
  <c r="M30" i="22"/>
  <c r="L30" i="22"/>
  <c r="K30" i="22"/>
  <c r="J30" i="22"/>
  <c r="I30" i="22"/>
  <c r="H30" i="22"/>
  <c r="Q29" i="22"/>
  <c r="P29" i="22"/>
  <c r="O29" i="22"/>
  <c r="N29" i="22"/>
  <c r="M29" i="22"/>
  <c r="L29" i="22"/>
  <c r="K29" i="22"/>
  <c r="J29" i="22"/>
  <c r="I29" i="22"/>
  <c r="H29" i="22"/>
  <c r="Q28" i="22"/>
  <c r="R28" i="22" s="1"/>
  <c r="S28" i="22" s="1"/>
  <c r="T28" i="22" s="1"/>
  <c r="P28" i="22"/>
  <c r="O28" i="22"/>
  <c r="N28" i="22"/>
  <c r="M28" i="22"/>
  <c r="L28" i="22"/>
  <c r="K28" i="22"/>
  <c r="J28" i="22"/>
  <c r="I28" i="22"/>
  <c r="H28" i="22"/>
  <c r="Q27" i="22"/>
  <c r="Q65" i="22" s="1"/>
  <c r="P27" i="22"/>
  <c r="P65" i="22" s="1"/>
  <c r="O27" i="22"/>
  <c r="O65" i="22" s="1"/>
  <c r="N27" i="22"/>
  <c r="N65" i="22" s="1"/>
  <c r="M27" i="22"/>
  <c r="M65" i="22" s="1"/>
  <c r="L27" i="22"/>
  <c r="L65" i="22" s="1"/>
  <c r="K27" i="22"/>
  <c r="K65" i="22" s="1"/>
  <c r="J27" i="22"/>
  <c r="J65" i="22" s="1"/>
  <c r="I27" i="22"/>
  <c r="I65" i="22" s="1"/>
  <c r="H27" i="22"/>
  <c r="H65" i="22" s="1"/>
  <c r="Q26" i="22"/>
  <c r="Q64" i="22" s="1"/>
  <c r="P26" i="22"/>
  <c r="O26" i="22"/>
  <c r="O32" i="22" s="1"/>
  <c r="N26" i="22"/>
  <c r="N32" i="22" s="1"/>
  <c r="M26" i="22"/>
  <c r="L26" i="22"/>
  <c r="K26" i="22"/>
  <c r="K60" i="22" s="1"/>
  <c r="J26" i="22"/>
  <c r="J60" i="22" s="1"/>
  <c r="I26" i="22"/>
  <c r="I64" i="22" s="1"/>
  <c r="H26" i="22"/>
  <c r="H64" i="22" s="1"/>
  <c r="Q22" i="22"/>
  <c r="R22" i="22" s="1"/>
  <c r="S22" i="22" s="1"/>
  <c r="T22" i="22" s="1"/>
  <c r="P22" i="22"/>
  <c r="O22" i="22"/>
  <c r="N22" i="22"/>
  <c r="M22" i="22"/>
  <c r="L22" i="22"/>
  <c r="K22" i="22"/>
  <c r="J22" i="22"/>
  <c r="I22" i="22"/>
  <c r="H22" i="22"/>
  <c r="Q21" i="22"/>
  <c r="R21" i="22" s="1"/>
  <c r="S21" i="22" s="1"/>
  <c r="T21" i="22" s="1"/>
  <c r="P21" i="22"/>
  <c r="O21" i="22"/>
  <c r="N21" i="22"/>
  <c r="M21" i="22"/>
  <c r="L21" i="22"/>
  <c r="K21" i="22"/>
  <c r="J21" i="22"/>
  <c r="I21" i="22"/>
  <c r="H21" i="22"/>
  <c r="Q20" i="22"/>
  <c r="R20" i="22" s="1"/>
  <c r="S20" i="22" s="1"/>
  <c r="T20" i="22" s="1"/>
  <c r="P20" i="22"/>
  <c r="O20" i="22"/>
  <c r="N20" i="22"/>
  <c r="M20" i="22"/>
  <c r="L20" i="22"/>
  <c r="K20" i="22"/>
  <c r="J20" i="22"/>
  <c r="I20" i="22"/>
  <c r="H20" i="22"/>
  <c r="Q19" i="22"/>
  <c r="Q62" i="22" s="1"/>
  <c r="P19" i="22"/>
  <c r="P62" i="22" s="1"/>
  <c r="O19" i="22"/>
  <c r="O62" i="22" s="1"/>
  <c r="N19" i="22"/>
  <c r="N62" i="22" s="1"/>
  <c r="M19" i="22"/>
  <c r="M62" i="22" s="1"/>
  <c r="L19" i="22"/>
  <c r="L62" i="22" s="1"/>
  <c r="K19" i="22"/>
  <c r="K62" i="22" s="1"/>
  <c r="J19" i="22"/>
  <c r="J62" i="22" s="1"/>
  <c r="I19" i="22"/>
  <c r="I62" i="22" s="1"/>
  <c r="H19" i="22"/>
  <c r="H62" i="22" s="1"/>
  <c r="Q18" i="22"/>
  <c r="Q61" i="22" s="1"/>
  <c r="P18" i="22"/>
  <c r="P61" i="22" s="1"/>
  <c r="O18" i="22"/>
  <c r="O61" i="22" s="1"/>
  <c r="N18" i="22"/>
  <c r="N61" i="22" s="1"/>
  <c r="M18" i="22"/>
  <c r="M61" i="22" s="1"/>
  <c r="L18" i="22"/>
  <c r="L61" i="22" s="1"/>
  <c r="K18" i="22"/>
  <c r="K61" i="22" s="1"/>
  <c r="J18" i="22"/>
  <c r="J61" i="22" s="1"/>
  <c r="I18" i="22"/>
  <c r="I61" i="22" s="1"/>
  <c r="H18" i="22"/>
  <c r="H61" i="22" s="1"/>
  <c r="Q17" i="22"/>
  <c r="Q60" i="22" s="1"/>
  <c r="P17" i="22"/>
  <c r="P60" i="22" s="1"/>
  <c r="O17" i="22"/>
  <c r="O60" i="22" s="1"/>
  <c r="N17" i="22"/>
  <c r="N60" i="22" s="1"/>
  <c r="M17" i="22"/>
  <c r="M60" i="22" s="1"/>
  <c r="L17" i="22"/>
  <c r="L60" i="22" s="1"/>
  <c r="Q16" i="22"/>
  <c r="Q59" i="22" s="1"/>
  <c r="P16" i="22"/>
  <c r="P59" i="22" s="1"/>
  <c r="O16" i="22"/>
  <c r="O59" i="22" s="1"/>
  <c r="N16" i="22"/>
  <c r="N59" i="22" s="1"/>
  <c r="M16" i="22"/>
  <c r="M59" i="22" s="1"/>
  <c r="L16" i="22"/>
  <c r="L59" i="22" s="1"/>
  <c r="K16" i="22"/>
  <c r="K59" i="22" s="1"/>
  <c r="J16" i="22"/>
  <c r="J59" i="22" s="1"/>
  <c r="I16" i="22"/>
  <c r="I59" i="22" s="1"/>
  <c r="H16" i="22"/>
  <c r="H59" i="22" s="1"/>
  <c r="Q15" i="22"/>
  <c r="Q58" i="22" s="1"/>
  <c r="R58" i="22" s="1"/>
  <c r="P15" i="22"/>
  <c r="P58" i="22" s="1"/>
  <c r="O15" i="22"/>
  <c r="O58" i="22" s="1"/>
  <c r="N15" i="22"/>
  <c r="N58" i="22" s="1"/>
  <c r="M15" i="22"/>
  <c r="M58" i="22" s="1"/>
  <c r="L15" i="22"/>
  <c r="L58" i="22" s="1"/>
  <c r="K15" i="22"/>
  <c r="K58" i="22" s="1"/>
  <c r="J15" i="22"/>
  <c r="J58" i="22" s="1"/>
  <c r="I15" i="22"/>
  <c r="I58" i="22" s="1"/>
  <c r="H15" i="22"/>
  <c r="H58" i="22" s="1"/>
  <c r="Q14" i="22"/>
  <c r="P14" i="22"/>
  <c r="O14" i="22"/>
  <c r="N14" i="22"/>
  <c r="M14" i="22"/>
  <c r="L14" i="22"/>
  <c r="K14" i="22"/>
  <c r="K68" i="22" s="1"/>
  <c r="J14" i="22"/>
  <c r="I14" i="22"/>
  <c r="H14" i="22"/>
  <c r="Q13" i="22"/>
  <c r="P13" i="22"/>
  <c r="O13" i="22"/>
  <c r="N13" i="22"/>
  <c r="N23" i="22" s="1"/>
  <c r="M13" i="22"/>
  <c r="L13" i="22"/>
  <c r="K13" i="22"/>
  <c r="J13" i="22"/>
  <c r="J23" i="22" s="1"/>
  <c r="I13" i="22"/>
  <c r="I23" i="22" s="1"/>
  <c r="H13" i="22"/>
  <c r="M2" i="22"/>
  <c r="M3" i="22" s="1"/>
  <c r="N2" i="22" s="1"/>
  <c r="N3" i="22" s="1"/>
  <c r="O2" i="22" s="1"/>
  <c r="O3" i="22" s="1"/>
  <c r="P2" i="22" s="1"/>
  <c r="P3" i="22" s="1"/>
  <c r="Q2" i="22" s="1"/>
  <c r="Q3" i="22" s="1"/>
  <c r="R2" i="22" s="1"/>
  <c r="R3" i="22" s="1"/>
  <c r="S2" i="22" s="1"/>
  <c r="S3" i="22" s="1"/>
  <c r="T2" i="22" s="1"/>
  <c r="T3" i="22" s="1"/>
  <c r="R26" i="21"/>
  <c r="R16" i="21"/>
  <c r="R15" i="21"/>
  <c r="S66" i="21"/>
  <c r="S65" i="21"/>
  <c r="R61" i="21"/>
  <c r="S61" i="21" s="1"/>
  <c r="R59" i="21"/>
  <c r="L53" i="21"/>
  <c r="K53" i="21"/>
  <c r="J53" i="21"/>
  <c r="I53" i="21"/>
  <c r="H53" i="21"/>
  <c r="M53" i="21" s="1"/>
  <c r="L50" i="21"/>
  <c r="K50" i="21"/>
  <c r="J50" i="21"/>
  <c r="I50" i="21"/>
  <c r="H50" i="21"/>
  <c r="K49" i="21"/>
  <c r="J49" i="21"/>
  <c r="I49" i="21"/>
  <c r="H49" i="21"/>
  <c r="Q33" i="21"/>
  <c r="R33" i="21" s="1"/>
  <c r="S33" i="21" s="1"/>
  <c r="T33" i="21" s="1"/>
  <c r="P33" i="21"/>
  <c r="Q31" i="21"/>
  <c r="R31" i="21" s="1"/>
  <c r="S31" i="21" s="1"/>
  <c r="T31" i="21" s="1"/>
  <c r="P31" i="21"/>
  <c r="O31" i="21"/>
  <c r="N31" i="21"/>
  <c r="M31" i="21"/>
  <c r="L31" i="21"/>
  <c r="K31" i="21"/>
  <c r="J31" i="21"/>
  <c r="I31" i="21"/>
  <c r="H31" i="21"/>
  <c r="Q30" i="21"/>
  <c r="R30" i="21" s="1"/>
  <c r="P30" i="21"/>
  <c r="O30" i="21"/>
  <c r="N30" i="21"/>
  <c r="M30" i="21"/>
  <c r="L30" i="21"/>
  <c r="K30" i="21"/>
  <c r="J30" i="21"/>
  <c r="I30" i="21"/>
  <c r="H30" i="21"/>
  <c r="Q29" i="21"/>
  <c r="P29" i="21"/>
  <c r="O29" i="21"/>
  <c r="N29" i="21"/>
  <c r="M29" i="21"/>
  <c r="L29" i="21"/>
  <c r="K29" i="21"/>
  <c r="J29" i="21"/>
  <c r="I29" i="21"/>
  <c r="H29" i="21"/>
  <c r="Q28" i="21"/>
  <c r="R28" i="21" s="1"/>
  <c r="S28" i="21" s="1"/>
  <c r="T28" i="21" s="1"/>
  <c r="P28" i="21"/>
  <c r="O28" i="21"/>
  <c r="N28" i="21"/>
  <c r="M28" i="21"/>
  <c r="L28" i="21"/>
  <c r="K28" i="21"/>
  <c r="J28" i="21"/>
  <c r="I28" i="21"/>
  <c r="H28" i="21"/>
  <c r="Q27" i="21"/>
  <c r="Q65" i="21" s="1"/>
  <c r="P27" i="21"/>
  <c r="P65" i="21" s="1"/>
  <c r="O27" i="21"/>
  <c r="O65" i="21" s="1"/>
  <c r="N27" i="21"/>
  <c r="N65" i="21" s="1"/>
  <c r="M27" i="21"/>
  <c r="M65" i="21" s="1"/>
  <c r="L27" i="21"/>
  <c r="L65" i="21" s="1"/>
  <c r="K27" i="21"/>
  <c r="K65" i="21" s="1"/>
  <c r="J27" i="21"/>
  <c r="J65" i="21" s="1"/>
  <c r="I27" i="21"/>
  <c r="I65" i="21" s="1"/>
  <c r="H27" i="21"/>
  <c r="H65" i="21" s="1"/>
  <c r="Q26" i="21"/>
  <c r="Q64" i="21" s="1"/>
  <c r="P26" i="21"/>
  <c r="O26" i="21"/>
  <c r="N26" i="21"/>
  <c r="M26" i="21"/>
  <c r="M32" i="21" s="1"/>
  <c r="L26" i="21"/>
  <c r="K26" i="21"/>
  <c r="K60" i="21" s="1"/>
  <c r="J26" i="21"/>
  <c r="J60" i="21" s="1"/>
  <c r="I26" i="21"/>
  <c r="I64" i="21" s="1"/>
  <c r="H26" i="21"/>
  <c r="H64" i="21" s="1"/>
  <c r="Q22" i="21"/>
  <c r="R22" i="21" s="1"/>
  <c r="S22" i="21" s="1"/>
  <c r="T22" i="21" s="1"/>
  <c r="P22" i="21"/>
  <c r="O22" i="21"/>
  <c r="N22" i="21"/>
  <c r="M22" i="21"/>
  <c r="L22" i="21"/>
  <c r="K22" i="21"/>
  <c r="J22" i="21"/>
  <c r="I22" i="21"/>
  <c r="H22" i="21"/>
  <c r="Q21" i="21"/>
  <c r="R21" i="21" s="1"/>
  <c r="S21" i="21" s="1"/>
  <c r="T21" i="21" s="1"/>
  <c r="P21" i="21"/>
  <c r="O21" i="21"/>
  <c r="N21" i="21"/>
  <c r="M21" i="21"/>
  <c r="L21" i="21"/>
  <c r="K21" i="21"/>
  <c r="J21" i="21"/>
  <c r="I21" i="21"/>
  <c r="H21" i="21"/>
  <c r="Q20" i="21"/>
  <c r="R20" i="21" s="1"/>
  <c r="S20" i="21" s="1"/>
  <c r="T20" i="21" s="1"/>
  <c r="P20" i="21"/>
  <c r="O20" i="21"/>
  <c r="N20" i="21"/>
  <c r="M20" i="21"/>
  <c r="L20" i="21"/>
  <c r="K20" i="21"/>
  <c r="J20" i="21"/>
  <c r="I20" i="21"/>
  <c r="H20" i="21"/>
  <c r="Q19" i="21"/>
  <c r="Q62" i="21" s="1"/>
  <c r="P19" i="21"/>
  <c r="P62" i="21" s="1"/>
  <c r="O19" i="21"/>
  <c r="O62" i="21" s="1"/>
  <c r="N19" i="21"/>
  <c r="N62" i="21" s="1"/>
  <c r="M19" i="21"/>
  <c r="M62" i="21" s="1"/>
  <c r="L19" i="21"/>
  <c r="L62" i="21" s="1"/>
  <c r="K19" i="21"/>
  <c r="K62" i="21" s="1"/>
  <c r="J19" i="21"/>
  <c r="J62" i="21" s="1"/>
  <c r="I19" i="21"/>
  <c r="I62" i="21" s="1"/>
  <c r="H19" i="21"/>
  <c r="H62" i="21" s="1"/>
  <c r="Q18" i="21"/>
  <c r="Q61" i="21" s="1"/>
  <c r="P18" i="21"/>
  <c r="P61" i="21" s="1"/>
  <c r="O18" i="21"/>
  <c r="O61" i="21" s="1"/>
  <c r="N18" i="21"/>
  <c r="N61" i="21" s="1"/>
  <c r="M18" i="21"/>
  <c r="M61" i="21" s="1"/>
  <c r="L18" i="21"/>
  <c r="L61" i="21" s="1"/>
  <c r="K18" i="21"/>
  <c r="K61" i="21" s="1"/>
  <c r="J18" i="21"/>
  <c r="J61" i="21" s="1"/>
  <c r="I18" i="21"/>
  <c r="I61" i="21" s="1"/>
  <c r="H18" i="21"/>
  <c r="H61" i="21" s="1"/>
  <c r="Q17" i="21"/>
  <c r="Q60" i="21" s="1"/>
  <c r="P17" i="21"/>
  <c r="P60" i="21" s="1"/>
  <c r="O17" i="21"/>
  <c r="O60" i="21" s="1"/>
  <c r="N17" i="21"/>
  <c r="N60" i="21" s="1"/>
  <c r="M17" i="21"/>
  <c r="M60" i="21" s="1"/>
  <c r="L17" i="21"/>
  <c r="L60" i="21" s="1"/>
  <c r="Q16" i="21"/>
  <c r="Q59" i="21" s="1"/>
  <c r="P16" i="21"/>
  <c r="P59" i="21" s="1"/>
  <c r="O16" i="21"/>
  <c r="O59" i="21" s="1"/>
  <c r="N16" i="21"/>
  <c r="N59" i="21" s="1"/>
  <c r="M16" i="21"/>
  <c r="M59" i="21" s="1"/>
  <c r="L16" i="21"/>
  <c r="L59" i="21" s="1"/>
  <c r="K16" i="21"/>
  <c r="K59" i="21" s="1"/>
  <c r="J16" i="21"/>
  <c r="J59" i="21" s="1"/>
  <c r="I16" i="21"/>
  <c r="I59" i="21" s="1"/>
  <c r="H16" i="21"/>
  <c r="H59" i="21" s="1"/>
  <c r="Q15" i="21"/>
  <c r="Q58" i="21" s="1"/>
  <c r="P15" i="21"/>
  <c r="P58" i="21" s="1"/>
  <c r="O15" i="21"/>
  <c r="O58" i="21" s="1"/>
  <c r="N15" i="21"/>
  <c r="N58" i="21" s="1"/>
  <c r="M15" i="21"/>
  <c r="M58" i="21" s="1"/>
  <c r="L15" i="21"/>
  <c r="L58" i="21" s="1"/>
  <c r="K15" i="21"/>
  <c r="K58" i="21" s="1"/>
  <c r="J15" i="21"/>
  <c r="J58" i="21" s="1"/>
  <c r="I15" i="21"/>
  <c r="I58" i="21" s="1"/>
  <c r="H15" i="21"/>
  <c r="H58" i="21" s="1"/>
  <c r="Q14" i="21"/>
  <c r="P14" i="21"/>
  <c r="O14" i="21"/>
  <c r="N14" i="21"/>
  <c r="M14" i="21"/>
  <c r="L14" i="21"/>
  <c r="K14" i="21"/>
  <c r="J14" i="21"/>
  <c r="J68" i="21" s="1"/>
  <c r="I14" i="21"/>
  <c r="H14" i="21"/>
  <c r="H68" i="21" s="1"/>
  <c r="Q13" i="21"/>
  <c r="R13" i="21" s="1"/>
  <c r="P13" i="21"/>
  <c r="O13" i="21"/>
  <c r="N13" i="21"/>
  <c r="M13" i="21"/>
  <c r="M23" i="21" s="1"/>
  <c r="L13" i="21"/>
  <c r="L23" i="21" s="1"/>
  <c r="K13" i="21"/>
  <c r="J13" i="21"/>
  <c r="J23" i="21" s="1"/>
  <c r="I13" i="21"/>
  <c r="H13" i="21"/>
  <c r="M2" i="21"/>
  <c r="M3" i="21" s="1"/>
  <c r="N2" i="21" s="1"/>
  <c r="N3" i="21" s="1"/>
  <c r="O2" i="21" s="1"/>
  <c r="O3" i="21" s="1"/>
  <c r="P2" i="21" s="1"/>
  <c r="P3" i="21" s="1"/>
  <c r="Q2" i="21" s="1"/>
  <c r="Q3" i="21" s="1"/>
  <c r="R2" i="21" s="1"/>
  <c r="R3" i="21" s="1"/>
  <c r="S2" i="21" s="1"/>
  <c r="S3" i="21" s="1"/>
  <c r="T2" i="21" s="1"/>
  <c r="T3" i="21" s="1"/>
  <c r="L13" i="19"/>
  <c r="B9" i="25"/>
  <c r="B3" i="25"/>
  <c r="T14" i="19"/>
  <c r="M238" i="24"/>
  <c r="N237" i="24"/>
  <c r="O237" i="24" s="1"/>
  <c r="N230" i="24"/>
  <c r="O230" i="24" s="1"/>
  <c r="P230" i="24" s="1"/>
  <c r="Q230" i="24" s="1"/>
  <c r="N158" i="24"/>
  <c r="P156" i="24"/>
  <c r="O156" i="24"/>
  <c r="N156" i="24"/>
  <c r="Q136" i="24"/>
  <c r="P136" i="24"/>
  <c r="O136" i="24"/>
  <c r="N136" i="24"/>
  <c r="N126" i="24"/>
  <c r="O126" i="24" s="1"/>
  <c r="P126" i="24" s="1"/>
  <c r="Q126" i="24" s="1"/>
  <c r="P124" i="24"/>
  <c r="Q124" i="24" s="1"/>
  <c r="O119" i="24"/>
  <c r="P119" i="24" s="1"/>
  <c r="Q119" i="24" s="1"/>
  <c r="N119" i="24"/>
  <c r="N117" i="24"/>
  <c r="O117" i="24" s="1"/>
  <c r="P117" i="24" s="1"/>
  <c r="Q117" i="24" s="1"/>
  <c r="P116" i="24"/>
  <c r="Q116" i="24" s="1"/>
  <c r="O116" i="24"/>
  <c r="Q112" i="24"/>
  <c r="P103" i="24"/>
  <c r="O103" i="24"/>
  <c r="N103" i="24"/>
  <c r="P102" i="24"/>
  <c r="Q102" i="24" s="1"/>
  <c r="Q103" i="24" s="1"/>
  <c r="O102" i="24"/>
  <c r="N102" i="24"/>
  <c r="L100" i="24"/>
  <c r="K100" i="24"/>
  <c r="J100" i="24"/>
  <c r="I100" i="24"/>
  <c r="H100" i="24"/>
  <c r="G100" i="24"/>
  <c r="F100" i="24"/>
  <c r="E100" i="24"/>
  <c r="D100" i="24"/>
  <c r="C100" i="24"/>
  <c r="B100" i="24"/>
  <c r="L93" i="24"/>
  <c r="K93" i="24"/>
  <c r="B93" i="24"/>
  <c r="L92" i="24"/>
  <c r="K92" i="24"/>
  <c r="J92" i="24"/>
  <c r="I92" i="24"/>
  <c r="H92" i="24"/>
  <c r="G92" i="24"/>
  <c r="F92" i="24"/>
  <c r="E92" i="24"/>
  <c r="D92" i="24"/>
  <c r="C92" i="24"/>
  <c r="C93" i="24" s="1"/>
  <c r="B92" i="24"/>
  <c r="L91" i="24"/>
  <c r="K91" i="24"/>
  <c r="J91" i="24"/>
  <c r="J93" i="24" s="1"/>
  <c r="I91" i="24"/>
  <c r="I93" i="24" s="1"/>
  <c r="H91" i="24"/>
  <c r="H93" i="24" s="1"/>
  <c r="G91" i="24"/>
  <c r="G93" i="24" s="1"/>
  <c r="F91" i="24"/>
  <c r="F93" i="24" s="1"/>
  <c r="E91" i="24"/>
  <c r="E93" i="24" s="1"/>
  <c r="D91" i="24"/>
  <c r="D93" i="24" s="1"/>
  <c r="C91" i="24"/>
  <c r="B91" i="24"/>
  <c r="L89" i="24"/>
  <c r="K89" i="24"/>
  <c r="J89" i="24"/>
  <c r="I89" i="24"/>
  <c r="H89" i="24"/>
  <c r="M89" i="24" s="1"/>
  <c r="G89" i="24"/>
  <c r="F89" i="24"/>
  <c r="E89" i="24"/>
  <c r="D89" i="24"/>
  <c r="C89" i="24"/>
  <c r="B89" i="24"/>
  <c r="A88" i="24"/>
  <c r="K85" i="24"/>
  <c r="J85" i="24"/>
  <c r="I85" i="24"/>
  <c r="L84" i="24"/>
  <c r="L85" i="24" s="1"/>
  <c r="K84" i="24"/>
  <c r="J84" i="24"/>
  <c r="I84" i="24"/>
  <c r="H84" i="24"/>
  <c r="H85" i="24" s="1"/>
  <c r="G84" i="24"/>
  <c r="G85" i="24" s="1"/>
  <c r="F84" i="24"/>
  <c r="F85" i="24" s="1"/>
  <c r="E84" i="24"/>
  <c r="E85" i="24" s="1"/>
  <c r="D84" i="24"/>
  <c r="D85" i="24" s="1"/>
  <c r="C84" i="24"/>
  <c r="C85" i="24" s="1"/>
  <c r="B84" i="24"/>
  <c r="Q83" i="24"/>
  <c r="P83" i="24"/>
  <c r="O83" i="24"/>
  <c r="F83" i="24"/>
  <c r="L82" i="24"/>
  <c r="L83" i="24" s="1"/>
  <c r="K82" i="24"/>
  <c r="J82" i="24"/>
  <c r="K83" i="24" s="1"/>
  <c r="I82" i="24"/>
  <c r="I83" i="24" s="1"/>
  <c r="H82" i="24"/>
  <c r="M82" i="24" s="1"/>
  <c r="G82" i="24"/>
  <c r="H83" i="24" s="1"/>
  <c r="F82" i="24"/>
  <c r="G83" i="24" s="1"/>
  <c r="E82" i="24"/>
  <c r="E83" i="24" s="1"/>
  <c r="D82" i="24"/>
  <c r="C82" i="24"/>
  <c r="C83" i="24" s="1"/>
  <c r="B82" i="24"/>
  <c r="L81" i="24"/>
  <c r="K81" i="24"/>
  <c r="J81" i="24"/>
  <c r="I81" i="24"/>
  <c r="H81" i="24"/>
  <c r="G81" i="24"/>
  <c r="F81" i="24"/>
  <c r="E81" i="24"/>
  <c r="D81" i="24"/>
  <c r="C81" i="24"/>
  <c r="A80" i="24"/>
  <c r="J77" i="24"/>
  <c r="I77" i="24"/>
  <c r="H77" i="24"/>
  <c r="L76" i="24"/>
  <c r="L77" i="24" s="1"/>
  <c r="K76" i="24"/>
  <c r="K77" i="24" s="1"/>
  <c r="J76" i="24"/>
  <c r="I76" i="24"/>
  <c r="H76" i="24"/>
  <c r="G76" i="24"/>
  <c r="G77" i="24" s="1"/>
  <c r="F76" i="24"/>
  <c r="F77" i="24" s="1"/>
  <c r="E76" i="24"/>
  <c r="E77" i="24" s="1"/>
  <c r="D76" i="24"/>
  <c r="D77" i="24" s="1"/>
  <c r="C76" i="24"/>
  <c r="C77" i="24" s="1"/>
  <c r="B76" i="24"/>
  <c r="Q75" i="24"/>
  <c r="P75" i="24"/>
  <c r="O75" i="24"/>
  <c r="M74" i="24"/>
  <c r="N75" i="24" s="1"/>
  <c r="L74" i="24"/>
  <c r="L75" i="24" s="1"/>
  <c r="K74" i="24"/>
  <c r="K75" i="24" s="1"/>
  <c r="J74" i="24"/>
  <c r="J75" i="24" s="1"/>
  <c r="I74" i="24"/>
  <c r="I75" i="24" s="1"/>
  <c r="H74" i="24"/>
  <c r="H75" i="24" s="1"/>
  <c r="G74" i="24"/>
  <c r="F74" i="24"/>
  <c r="G75" i="24" s="1"/>
  <c r="E74" i="24"/>
  <c r="F75" i="24" s="1"/>
  <c r="D74" i="24"/>
  <c r="E75" i="24" s="1"/>
  <c r="C74" i="24"/>
  <c r="C75" i="24" s="1"/>
  <c r="B74" i="24"/>
  <c r="L73" i="24"/>
  <c r="K73" i="24"/>
  <c r="J73" i="24"/>
  <c r="I73" i="24"/>
  <c r="H73" i="24"/>
  <c r="G73" i="24"/>
  <c r="F73" i="24"/>
  <c r="E73" i="24"/>
  <c r="D73" i="24"/>
  <c r="C73" i="24"/>
  <c r="A72" i="24"/>
  <c r="I69" i="24"/>
  <c r="H69" i="24"/>
  <c r="G69" i="24"/>
  <c r="L68" i="24"/>
  <c r="L69" i="24" s="1"/>
  <c r="K68" i="24"/>
  <c r="K69" i="24" s="1"/>
  <c r="J68" i="24"/>
  <c r="J69" i="24" s="1"/>
  <c r="I68" i="24"/>
  <c r="H68" i="24"/>
  <c r="G68" i="24"/>
  <c r="F68" i="24"/>
  <c r="F69" i="24" s="1"/>
  <c r="E68" i="24"/>
  <c r="E69" i="24" s="1"/>
  <c r="D68" i="24"/>
  <c r="D69" i="24" s="1"/>
  <c r="C68" i="24"/>
  <c r="C69" i="24" s="1"/>
  <c r="B68" i="24"/>
  <c r="L66" i="24"/>
  <c r="B66" i="24"/>
  <c r="Q65" i="24"/>
  <c r="P65" i="24"/>
  <c r="O65" i="24"/>
  <c r="N65" i="24"/>
  <c r="H65" i="24"/>
  <c r="G65" i="24"/>
  <c r="F65" i="24"/>
  <c r="L64" i="24"/>
  <c r="M65" i="24" s="1"/>
  <c r="K64" i="24"/>
  <c r="K66" i="24" s="1"/>
  <c r="J64" i="24"/>
  <c r="J66" i="24" s="1"/>
  <c r="I64" i="24"/>
  <c r="I66" i="24" s="1"/>
  <c r="H64" i="24"/>
  <c r="H66" i="24" s="1"/>
  <c r="G64" i="24"/>
  <c r="G66" i="24" s="1"/>
  <c r="F64" i="24"/>
  <c r="F66" i="24" s="1"/>
  <c r="E64" i="24"/>
  <c r="E66" i="24" s="1"/>
  <c r="D64" i="24"/>
  <c r="D66" i="24" s="1"/>
  <c r="C64" i="24"/>
  <c r="C65" i="24" s="1"/>
  <c r="B64" i="24"/>
  <c r="L63" i="24"/>
  <c r="K63" i="24"/>
  <c r="J63" i="24"/>
  <c r="I63" i="24"/>
  <c r="H63" i="24"/>
  <c r="G63" i="24"/>
  <c r="F63" i="24"/>
  <c r="E63" i="24"/>
  <c r="D63" i="24"/>
  <c r="C63" i="24"/>
  <c r="L24" i="24"/>
  <c r="K24" i="24"/>
  <c r="J24" i="24"/>
  <c r="I24" i="24"/>
  <c r="H24" i="24"/>
  <c r="G24" i="24"/>
  <c r="F24" i="24"/>
  <c r="E24" i="24"/>
  <c r="D24" i="24"/>
  <c r="C24" i="24"/>
  <c r="L22" i="24"/>
  <c r="K22" i="24"/>
  <c r="J22" i="24"/>
  <c r="I22" i="24"/>
  <c r="H22" i="24"/>
  <c r="G22" i="24"/>
  <c r="F22" i="24"/>
  <c r="E22" i="24"/>
  <c r="D22" i="24"/>
  <c r="C22" i="24"/>
  <c r="L21" i="24"/>
  <c r="K21" i="24"/>
  <c r="J21" i="24"/>
  <c r="I21" i="24"/>
  <c r="H21" i="24"/>
  <c r="G21" i="24"/>
  <c r="F21" i="24"/>
  <c r="E21" i="24"/>
  <c r="D21" i="24"/>
  <c r="C21" i="24"/>
  <c r="L19" i="24"/>
  <c r="K19" i="24"/>
  <c r="J19" i="24"/>
  <c r="I19" i="24"/>
  <c r="H19" i="24"/>
  <c r="G19" i="24"/>
  <c r="F19" i="24"/>
  <c r="E19" i="24"/>
  <c r="D19" i="24"/>
  <c r="C19" i="24"/>
  <c r="M18" i="24"/>
  <c r="F16" i="24"/>
  <c r="E16" i="24"/>
  <c r="D16" i="24"/>
  <c r="L15" i="24"/>
  <c r="L16" i="24" s="1"/>
  <c r="K15" i="24"/>
  <c r="K16" i="24" s="1"/>
  <c r="J15" i="24"/>
  <c r="J16" i="24" s="1"/>
  <c r="I15" i="24"/>
  <c r="I16" i="24" s="1"/>
  <c r="H15" i="24"/>
  <c r="H16" i="24" s="1"/>
  <c r="G15" i="24"/>
  <c r="G16" i="24" s="1"/>
  <c r="F15" i="24"/>
  <c r="E15" i="24"/>
  <c r="D15" i="24"/>
  <c r="C15" i="24"/>
  <c r="C16" i="24" s="1"/>
  <c r="B15" i="24"/>
  <c r="L14" i="24"/>
  <c r="K14" i="24"/>
  <c r="L13" i="24"/>
  <c r="K13" i="24"/>
  <c r="J13" i="24"/>
  <c r="J14" i="24" s="1"/>
  <c r="I13" i="24"/>
  <c r="I14" i="24" s="1"/>
  <c r="H13" i="24"/>
  <c r="H14" i="24" s="1"/>
  <c r="G13" i="24"/>
  <c r="G14" i="24" s="1"/>
  <c r="F13" i="24"/>
  <c r="F14" i="24" s="1"/>
  <c r="E13" i="24"/>
  <c r="E14" i="24" s="1"/>
  <c r="D13" i="24"/>
  <c r="D14" i="24" s="1"/>
  <c r="C13" i="24"/>
  <c r="C14" i="24" s="1"/>
  <c r="B13" i="24"/>
  <c r="L12" i="24"/>
  <c r="K12" i="24"/>
  <c r="J12" i="24"/>
  <c r="I12" i="24"/>
  <c r="H12" i="24"/>
  <c r="G12" i="24"/>
  <c r="F12" i="24"/>
  <c r="E12" i="24"/>
  <c r="D12" i="24"/>
  <c r="C12" i="24"/>
  <c r="M11" i="24"/>
  <c r="N11" i="24" s="1"/>
  <c r="O11" i="24" s="1"/>
  <c r="P11" i="24" s="1"/>
  <c r="Q11" i="24" s="1"/>
  <c r="D2" i="24"/>
  <c r="C2" i="24"/>
  <c r="B2" i="24"/>
  <c r="A57" i="24" s="1"/>
  <c r="A54" i="24" s="1"/>
  <c r="M238" i="23"/>
  <c r="N237" i="23"/>
  <c r="N230" i="23"/>
  <c r="O230" i="23" s="1"/>
  <c r="P230" i="23" s="1"/>
  <c r="Q230" i="23" s="1"/>
  <c r="P165" i="23"/>
  <c r="N158" i="23"/>
  <c r="O158" i="23" s="1"/>
  <c r="N156" i="23"/>
  <c r="O156" i="23" s="1"/>
  <c r="Q136" i="23"/>
  <c r="P136" i="23"/>
  <c r="O136" i="23"/>
  <c r="N136" i="23"/>
  <c r="N126" i="23"/>
  <c r="O126" i="23" s="1"/>
  <c r="P126" i="23" s="1"/>
  <c r="Q126" i="23" s="1"/>
  <c r="Q124" i="23"/>
  <c r="P124" i="23"/>
  <c r="N119" i="23"/>
  <c r="O119" i="23" s="1"/>
  <c r="P119" i="23" s="1"/>
  <c r="Q119" i="23" s="1"/>
  <c r="N117" i="23"/>
  <c r="O117" i="23" s="1"/>
  <c r="P117" i="23" s="1"/>
  <c r="Q117" i="23" s="1"/>
  <c r="O116" i="23"/>
  <c r="P116" i="23" s="1"/>
  <c r="Q116" i="23" s="1"/>
  <c r="Q112" i="23"/>
  <c r="N103" i="23"/>
  <c r="N102" i="23"/>
  <c r="O102" i="23" s="1"/>
  <c r="L100" i="23"/>
  <c r="K100" i="23"/>
  <c r="J100" i="23"/>
  <c r="I100" i="23"/>
  <c r="H100" i="23"/>
  <c r="G100" i="23"/>
  <c r="F100" i="23"/>
  <c r="E100" i="23"/>
  <c r="D100" i="23"/>
  <c r="C100" i="23"/>
  <c r="B100" i="23"/>
  <c r="G93" i="23"/>
  <c r="F93" i="23"/>
  <c r="E93" i="23"/>
  <c r="L92" i="23"/>
  <c r="K92" i="23"/>
  <c r="K93" i="23" s="1"/>
  <c r="J92" i="23"/>
  <c r="I92" i="23"/>
  <c r="H92" i="23"/>
  <c r="G92" i="23"/>
  <c r="F92" i="23"/>
  <c r="E92" i="23"/>
  <c r="D92" i="23"/>
  <c r="C92" i="23"/>
  <c r="B92" i="23"/>
  <c r="L91" i="23"/>
  <c r="L93" i="23" s="1"/>
  <c r="K91" i="23"/>
  <c r="J91" i="23"/>
  <c r="J93" i="23" s="1"/>
  <c r="I91" i="23"/>
  <c r="I93" i="23" s="1"/>
  <c r="H91" i="23"/>
  <c r="H93" i="23" s="1"/>
  <c r="G91" i="23"/>
  <c r="F91" i="23"/>
  <c r="E91" i="23"/>
  <c r="D91" i="23"/>
  <c r="D93" i="23" s="1"/>
  <c r="C91" i="23"/>
  <c r="C93" i="23" s="1"/>
  <c r="B91" i="23"/>
  <c r="B93" i="23" s="1"/>
  <c r="M89" i="23"/>
  <c r="L89" i="23"/>
  <c r="K89" i="23"/>
  <c r="J89" i="23"/>
  <c r="I89" i="23"/>
  <c r="H89" i="23"/>
  <c r="G89" i="23"/>
  <c r="F89" i="23"/>
  <c r="E89" i="23"/>
  <c r="D89" i="23"/>
  <c r="C89" i="23"/>
  <c r="B89" i="23"/>
  <c r="A88" i="23"/>
  <c r="K85" i="23"/>
  <c r="E85" i="23"/>
  <c r="D85" i="23"/>
  <c r="C85" i="23"/>
  <c r="L84" i="23"/>
  <c r="L85" i="23" s="1"/>
  <c r="K84" i="23"/>
  <c r="J84" i="23"/>
  <c r="J85" i="23" s="1"/>
  <c r="I84" i="23"/>
  <c r="H84" i="23"/>
  <c r="I85" i="23" s="1"/>
  <c r="G84" i="23"/>
  <c r="G85" i="23" s="1"/>
  <c r="F84" i="23"/>
  <c r="F85" i="23" s="1"/>
  <c r="E84" i="23"/>
  <c r="D84" i="23"/>
  <c r="C84" i="23"/>
  <c r="B84" i="23"/>
  <c r="Q83" i="23"/>
  <c r="P83" i="23"/>
  <c r="O83" i="23"/>
  <c r="J83" i="23"/>
  <c r="L82" i="23"/>
  <c r="K82" i="23"/>
  <c r="L83" i="23" s="1"/>
  <c r="J82" i="23"/>
  <c r="K83" i="23" s="1"/>
  <c r="I82" i="23"/>
  <c r="I83" i="23" s="1"/>
  <c r="H82" i="23"/>
  <c r="H83" i="23" s="1"/>
  <c r="G82" i="23"/>
  <c r="G83" i="23" s="1"/>
  <c r="F82" i="23"/>
  <c r="E82" i="23"/>
  <c r="F83" i="23" s="1"/>
  <c r="D82" i="23"/>
  <c r="C82" i="23"/>
  <c r="D83" i="23" s="1"/>
  <c r="B82" i="23"/>
  <c r="L81" i="23"/>
  <c r="K81" i="23"/>
  <c r="J81" i="23"/>
  <c r="I81" i="23"/>
  <c r="H81" i="23"/>
  <c r="G81" i="23"/>
  <c r="F81" i="23"/>
  <c r="E81" i="23"/>
  <c r="D81" i="23"/>
  <c r="C81" i="23"/>
  <c r="A80" i="23"/>
  <c r="J77" i="23"/>
  <c r="D77" i="23"/>
  <c r="C77" i="23"/>
  <c r="L76" i="23"/>
  <c r="L77" i="23" s="1"/>
  <c r="K76" i="23"/>
  <c r="K77" i="23" s="1"/>
  <c r="J76" i="23"/>
  <c r="I76" i="23"/>
  <c r="I77" i="23" s="1"/>
  <c r="H76" i="23"/>
  <c r="G76" i="23"/>
  <c r="H77" i="23" s="1"/>
  <c r="F76" i="23"/>
  <c r="F77" i="23" s="1"/>
  <c r="E76" i="23"/>
  <c r="E77" i="23" s="1"/>
  <c r="D76" i="23"/>
  <c r="C76" i="23"/>
  <c r="B76" i="23"/>
  <c r="Q75" i="23"/>
  <c r="P75" i="23"/>
  <c r="O75" i="23"/>
  <c r="J75" i="23"/>
  <c r="L74" i="23"/>
  <c r="L75" i="23" s="1"/>
  <c r="K74" i="23"/>
  <c r="J74" i="23"/>
  <c r="K75" i="23" s="1"/>
  <c r="I74" i="23"/>
  <c r="H74" i="23"/>
  <c r="H75" i="23" s="1"/>
  <c r="G74" i="23"/>
  <c r="G75" i="23" s="1"/>
  <c r="F74" i="23"/>
  <c r="E74" i="23"/>
  <c r="F75" i="23" s="1"/>
  <c r="D74" i="23"/>
  <c r="D75" i="23" s="1"/>
  <c r="C74" i="23"/>
  <c r="B74" i="23"/>
  <c r="C75" i="23" s="1"/>
  <c r="L73" i="23"/>
  <c r="K73" i="23"/>
  <c r="J73" i="23"/>
  <c r="I73" i="23"/>
  <c r="H73" i="23"/>
  <c r="G73" i="23"/>
  <c r="F73" i="23"/>
  <c r="E73" i="23"/>
  <c r="D73" i="23"/>
  <c r="C73" i="23"/>
  <c r="A72" i="23"/>
  <c r="C69" i="23"/>
  <c r="L68" i="23"/>
  <c r="L69" i="23" s="1"/>
  <c r="K68" i="23"/>
  <c r="J68" i="23"/>
  <c r="K69" i="23" s="1"/>
  <c r="I68" i="23"/>
  <c r="I69" i="23" s="1"/>
  <c r="H68" i="23"/>
  <c r="H69" i="23" s="1"/>
  <c r="G68" i="23"/>
  <c r="F68" i="23"/>
  <c r="G69" i="23" s="1"/>
  <c r="E68" i="23"/>
  <c r="E69" i="23" s="1"/>
  <c r="D68" i="23"/>
  <c r="D69" i="23" s="1"/>
  <c r="C68" i="23"/>
  <c r="B68" i="23"/>
  <c r="L66" i="23"/>
  <c r="G66" i="23"/>
  <c r="F66" i="23"/>
  <c r="D66" i="23"/>
  <c r="C66" i="23"/>
  <c r="Q65" i="23"/>
  <c r="P65" i="23"/>
  <c r="O65" i="23"/>
  <c r="N65" i="23"/>
  <c r="L65" i="23"/>
  <c r="K65" i="23"/>
  <c r="J65" i="23"/>
  <c r="D65" i="23"/>
  <c r="L64" i="23"/>
  <c r="M65" i="23" s="1"/>
  <c r="K64" i="23"/>
  <c r="K66" i="23" s="1"/>
  <c r="J64" i="23"/>
  <c r="J66" i="23" s="1"/>
  <c r="I64" i="23"/>
  <c r="I65" i="23" s="1"/>
  <c r="H64" i="23"/>
  <c r="H65" i="23" s="1"/>
  <c r="G64" i="23"/>
  <c r="F64" i="23"/>
  <c r="G65" i="23" s="1"/>
  <c r="E64" i="23"/>
  <c r="E66" i="23" s="1"/>
  <c r="D64" i="23"/>
  <c r="C64" i="23"/>
  <c r="C65" i="23" s="1"/>
  <c r="B64" i="23"/>
  <c r="B66" i="23" s="1"/>
  <c r="L63" i="23"/>
  <c r="K63" i="23"/>
  <c r="J63" i="23"/>
  <c r="I63" i="23"/>
  <c r="H63" i="23"/>
  <c r="G63" i="23"/>
  <c r="F63" i="23"/>
  <c r="E63" i="23"/>
  <c r="D63" i="23"/>
  <c r="C63" i="23"/>
  <c r="L24" i="23"/>
  <c r="K24" i="23"/>
  <c r="J24" i="23"/>
  <c r="I24" i="23"/>
  <c r="H24" i="23"/>
  <c r="G24" i="23"/>
  <c r="F24" i="23"/>
  <c r="E24" i="23"/>
  <c r="D24" i="23"/>
  <c r="C24" i="23"/>
  <c r="L22" i="23"/>
  <c r="K22" i="23"/>
  <c r="J22" i="23"/>
  <c r="I22" i="23"/>
  <c r="H22" i="23"/>
  <c r="G22" i="23"/>
  <c r="F22" i="23"/>
  <c r="E22" i="23"/>
  <c r="D22" i="23"/>
  <c r="C22" i="23"/>
  <c r="L21" i="23"/>
  <c r="K21" i="23"/>
  <c r="J21" i="23"/>
  <c r="I21" i="23"/>
  <c r="H21" i="23"/>
  <c r="G21" i="23"/>
  <c r="F21" i="23"/>
  <c r="E21" i="23"/>
  <c r="D21" i="23"/>
  <c r="C21" i="23"/>
  <c r="L19" i="23"/>
  <c r="K19" i="23"/>
  <c r="J19" i="23"/>
  <c r="I19" i="23"/>
  <c r="H19" i="23"/>
  <c r="G19" i="23"/>
  <c r="F19" i="23"/>
  <c r="E19" i="23"/>
  <c r="D19" i="23"/>
  <c r="C19" i="23"/>
  <c r="M18" i="23"/>
  <c r="M20" i="23" s="1"/>
  <c r="M21" i="23" s="1"/>
  <c r="L16" i="23"/>
  <c r="K16" i="23"/>
  <c r="J16" i="23"/>
  <c r="L15" i="23"/>
  <c r="K15" i="23"/>
  <c r="J15" i="23"/>
  <c r="I15" i="23"/>
  <c r="I16" i="23" s="1"/>
  <c r="H15" i="23"/>
  <c r="H16" i="23" s="1"/>
  <c r="G15" i="23"/>
  <c r="G16" i="23" s="1"/>
  <c r="F15" i="23"/>
  <c r="F16" i="23" s="1"/>
  <c r="E15" i="23"/>
  <c r="E16" i="23" s="1"/>
  <c r="D15" i="23"/>
  <c r="C15" i="23"/>
  <c r="D16" i="23" s="1"/>
  <c r="B15" i="23"/>
  <c r="G14" i="23"/>
  <c r="F14" i="23"/>
  <c r="E14" i="23"/>
  <c r="L13" i="23"/>
  <c r="L14" i="23" s="1"/>
  <c r="K13" i="23"/>
  <c r="J13" i="23"/>
  <c r="K14" i="23" s="1"/>
  <c r="I13" i="23"/>
  <c r="I14" i="23" s="1"/>
  <c r="H13" i="23"/>
  <c r="H14" i="23" s="1"/>
  <c r="G13" i="23"/>
  <c r="F13" i="23"/>
  <c r="E13" i="23"/>
  <c r="D13" i="23"/>
  <c r="D14" i="23" s="1"/>
  <c r="C13" i="23"/>
  <c r="C14" i="23" s="1"/>
  <c r="B13" i="23"/>
  <c r="L12" i="23"/>
  <c r="K12" i="23"/>
  <c r="J12" i="23"/>
  <c r="I12" i="23"/>
  <c r="H12" i="23"/>
  <c r="G12" i="23"/>
  <c r="F12" i="23"/>
  <c r="E12" i="23"/>
  <c r="D12" i="23"/>
  <c r="C12" i="23"/>
  <c r="M11" i="23"/>
  <c r="M13" i="23" s="1"/>
  <c r="M14" i="23" s="1"/>
  <c r="D2" i="23"/>
  <c r="C2" i="23"/>
  <c r="B2" i="23"/>
  <c r="A105" i="23" s="1"/>
  <c r="A102" i="23" s="1"/>
  <c r="R63" i="19"/>
  <c r="S63" i="19" s="1"/>
  <c r="R61" i="19"/>
  <c r="S61" i="19" s="1"/>
  <c r="Q33" i="19"/>
  <c r="R33" i="19" s="1"/>
  <c r="S33" i="19" s="1"/>
  <c r="T33" i="19" s="1"/>
  <c r="P33" i="19"/>
  <c r="K68" i="20"/>
  <c r="J68" i="20"/>
  <c r="I68" i="20"/>
  <c r="H68" i="20"/>
  <c r="G68" i="20"/>
  <c r="F68" i="20"/>
  <c r="E68" i="20"/>
  <c r="K31" i="19" s="1"/>
  <c r="D68" i="20"/>
  <c r="J31" i="19" s="1"/>
  <c r="C68" i="20"/>
  <c r="B68" i="20"/>
  <c r="H31" i="19" s="1"/>
  <c r="Q31" i="19"/>
  <c r="O31" i="19"/>
  <c r="P31" i="19"/>
  <c r="N31" i="19"/>
  <c r="M31" i="19"/>
  <c r="L31" i="19"/>
  <c r="I31" i="19"/>
  <c r="Q30" i="19"/>
  <c r="R30" i="19" s="1"/>
  <c r="P30" i="19"/>
  <c r="O30" i="19"/>
  <c r="N30" i="19"/>
  <c r="M30" i="19"/>
  <c r="L30" i="19"/>
  <c r="K30" i="19"/>
  <c r="J30" i="19"/>
  <c r="I30" i="19"/>
  <c r="H30" i="19"/>
  <c r="Q29" i="19"/>
  <c r="P29" i="19"/>
  <c r="O29" i="19"/>
  <c r="N29" i="19"/>
  <c r="M29" i="19"/>
  <c r="L29" i="19"/>
  <c r="K29" i="19"/>
  <c r="J29" i="19"/>
  <c r="I29" i="19"/>
  <c r="H29" i="19"/>
  <c r="Q28" i="19"/>
  <c r="R28" i="19" s="1"/>
  <c r="S28" i="19" s="1"/>
  <c r="T28" i="19" s="1"/>
  <c r="P28" i="19"/>
  <c r="O28" i="19"/>
  <c r="N28" i="19"/>
  <c r="M28" i="19"/>
  <c r="L28" i="19"/>
  <c r="K28" i="19"/>
  <c r="J28" i="19"/>
  <c r="I28" i="19"/>
  <c r="H28" i="19"/>
  <c r="Q27" i="19"/>
  <c r="Q68" i="19" s="1"/>
  <c r="P27" i="19"/>
  <c r="P68" i="19" s="1"/>
  <c r="O27" i="19"/>
  <c r="O68" i="19" s="1"/>
  <c r="N27" i="19"/>
  <c r="N68" i="19" s="1"/>
  <c r="M27" i="19"/>
  <c r="M68" i="19" s="1"/>
  <c r="L27" i="19"/>
  <c r="L68" i="19" s="1"/>
  <c r="K27" i="19"/>
  <c r="K68" i="19" s="1"/>
  <c r="J27" i="19"/>
  <c r="J68" i="19" s="1"/>
  <c r="I27" i="19"/>
  <c r="I68" i="19" s="1"/>
  <c r="H27" i="19"/>
  <c r="H68" i="19" s="1"/>
  <c r="Q26" i="19"/>
  <c r="Q67" i="19" s="1"/>
  <c r="P26" i="19"/>
  <c r="P67" i="19" s="1"/>
  <c r="O26" i="19"/>
  <c r="O67" i="19" s="1"/>
  <c r="N26" i="19"/>
  <c r="N67" i="19" s="1"/>
  <c r="M26" i="19"/>
  <c r="M67" i="19" s="1"/>
  <c r="L26" i="19"/>
  <c r="L67" i="19" s="1"/>
  <c r="K26" i="19"/>
  <c r="K67" i="19" s="1"/>
  <c r="J26" i="19"/>
  <c r="J67" i="19" s="1"/>
  <c r="I26" i="19"/>
  <c r="I67" i="19" s="1"/>
  <c r="H26" i="19"/>
  <c r="H67" i="19" s="1"/>
  <c r="F45" i="20"/>
  <c r="L22" i="19" s="1"/>
  <c r="K45" i="20"/>
  <c r="Q22" i="19" s="1"/>
  <c r="R22" i="19" s="1"/>
  <c r="S22" i="19" s="1"/>
  <c r="T22" i="19" s="1"/>
  <c r="J45" i="20"/>
  <c r="P22" i="19" s="1"/>
  <c r="I45" i="20"/>
  <c r="O22" i="19" s="1"/>
  <c r="H45" i="20"/>
  <c r="N22" i="19" s="1"/>
  <c r="G45" i="20"/>
  <c r="M22" i="19" s="1"/>
  <c r="E45" i="20"/>
  <c r="K22" i="19" s="1"/>
  <c r="D45" i="20"/>
  <c r="J22" i="19" s="1"/>
  <c r="C45" i="20"/>
  <c r="I22" i="19" s="1"/>
  <c r="B45" i="20"/>
  <c r="H22" i="19" s="1"/>
  <c r="Q21" i="19"/>
  <c r="R21" i="19" s="1"/>
  <c r="S21" i="19" s="1"/>
  <c r="T21" i="19" s="1"/>
  <c r="P21" i="19"/>
  <c r="O21" i="19"/>
  <c r="N21" i="19"/>
  <c r="M21" i="19"/>
  <c r="L21" i="19"/>
  <c r="K21" i="19"/>
  <c r="J21" i="19"/>
  <c r="I21" i="19"/>
  <c r="H21" i="19"/>
  <c r="Q20" i="19"/>
  <c r="R20" i="19" s="1"/>
  <c r="S20" i="19" s="1"/>
  <c r="T20" i="19" s="1"/>
  <c r="P20" i="19"/>
  <c r="O20" i="19"/>
  <c r="N20" i="19"/>
  <c r="M20" i="19"/>
  <c r="L20" i="19"/>
  <c r="K20" i="19"/>
  <c r="J20" i="19"/>
  <c r="I20" i="19"/>
  <c r="H20" i="19"/>
  <c r="Q19" i="19"/>
  <c r="Q64" i="19" s="1"/>
  <c r="P19" i="19"/>
  <c r="P64" i="19" s="1"/>
  <c r="O19" i="19"/>
  <c r="O64" i="19" s="1"/>
  <c r="N19" i="19"/>
  <c r="N64" i="19" s="1"/>
  <c r="M19" i="19"/>
  <c r="M64" i="19" s="1"/>
  <c r="L19" i="19"/>
  <c r="L64" i="19" s="1"/>
  <c r="K19" i="19"/>
  <c r="K64" i="19" s="1"/>
  <c r="J19" i="19"/>
  <c r="J64" i="19" s="1"/>
  <c r="I19" i="19"/>
  <c r="I64" i="19" s="1"/>
  <c r="H19" i="19"/>
  <c r="H64" i="19" s="1"/>
  <c r="Q18" i="19"/>
  <c r="Q63" i="19" s="1"/>
  <c r="P18" i="19"/>
  <c r="P63" i="19" s="1"/>
  <c r="O18" i="19"/>
  <c r="O63" i="19" s="1"/>
  <c r="N18" i="19"/>
  <c r="N63" i="19" s="1"/>
  <c r="M18" i="19"/>
  <c r="M63" i="19" s="1"/>
  <c r="L18" i="19"/>
  <c r="L63" i="19" s="1"/>
  <c r="K18" i="19"/>
  <c r="K63" i="19" s="1"/>
  <c r="J18" i="19"/>
  <c r="J63" i="19" s="1"/>
  <c r="I18" i="19"/>
  <c r="I63" i="19" s="1"/>
  <c r="H18" i="19"/>
  <c r="H63" i="19" s="1"/>
  <c r="Q17" i="19"/>
  <c r="Q62" i="19" s="1"/>
  <c r="P17" i="19"/>
  <c r="P62" i="19" s="1"/>
  <c r="O17" i="19"/>
  <c r="O62" i="19" s="1"/>
  <c r="N17" i="19"/>
  <c r="N62" i="19" s="1"/>
  <c r="M17" i="19"/>
  <c r="M62" i="19" s="1"/>
  <c r="L17" i="19"/>
  <c r="L62" i="19" s="1"/>
  <c r="Q16" i="19"/>
  <c r="Q61" i="19" s="1"/>
  <c r="P16" i="19"/>
  <c r="P61" i="19" s="1"/>
  <c r="O16" i="19"/>
  <c r="O61" i="19" s="1"/>
  <c r="N16" i="19"/>
  <c r="N61" i="19" s="1"/>
  <c r="M16" i="19"/>
  <c r="M61" i="19" s="1"/>
  <c r="L16" i="19"/>
  <c r="L61" i="19" s="1"/>
  <c r="K16" i="19"/>
  <c r="K61" i="19" s="1"/>
  <c r="J16" i="19"/>
  <c r="J61" i="19" s="1"/>
  <c r="I16" i="19"/>
  <c r="I61" i="19" s="1"/>
  <c r="H16" i="19"/>
  <c r="H61" i="19" s="1"/>
  <c r="Q15" i="19"/>
  <c r="Q60" i="19" s="1"/>
  <c r="P15" i="19"/>
  <c r="P60" i="19" s="1"/>
  <c r="O15" i="19"/>
  <c r="O60" i="19" s="1"/>
  <c r="N15" i="19"/>
  <c r="N60" i="19" s="1"/>
  <c r="M15" i="19"/>
  <c r="M60" i="19" s="1"/>
  <c r="L15" i="19"/>
  <c r="L60" i="19" s="1"/>
  <c r="K15" i="19"/>
  <c r="K60" i="19" s="1"/>
  <c r="J15" i="19"/>
  <c r="J60" i="19" s="1"/>
  <c r="I15" i="19"/>
  <c r="I60" i="19" s="1"/>
  <c r="H15" i="19"/>
  <c r="H60" i="19" s="1"/>
  <c r="Q14" i="19"/>
  <c r="Q71" i="19" s="1"/>
  <c r="P14" i="19"/>
  <c r="P71" i="19" s="1"/>
  <c r="O14" i="19"/>
  <c r="O71" i="19" s="1"/>
  <c r="N14" i="19"/>
  <c r="N71" i="19" s="1"/>
  <c r="M14" i="19"/>
  <c r="M71" i="19" s="1"/>
  <c r="L14" i="19"/>
  <c r="L71" i="19" s="1"/>
  <c r="K14" i="19"/>
  <c r="K71" i="19" s="1"/>
  <c r="J14" i="19"/>
  <c r="J71" i="19" s="1"/>
  <c r="I14" i="19"/>
  <c r="I71" i="19" s="1"/>
  <c r="H14" i="19"/>
  <c r="H71" i="19" s="1"/>
  <c r="Q13" i="19"/>
  <c r="Q65" i="19" s="1"/>
  <c r="P13" i="19"/>
  <c r="P65" i="19" s="1"/>
  <c r="O13" i="19"/>
  <c r="O65" i="19" s="1"/>
  <c r="N13" i="19"/>
  <c r="N65" i="19" s="1"/>
  <c r="M13" i="19"/>
  <c r="M65" i="19" s="1"/>
  <c r="L65" i="19"/>
  <c r="K13" i="19"/>
  <c r="K65" i="19" s="1"/>
  <c r="J13" i="19"/>
  <c r="J65" i="19" s="1"/>
  <c r="I13" i="19"/>
  <c r="I65" i="19" s="1"/>
  <c r="H13" i="19"/>
  <c r="H65" i="19" s="1"/>
  <c r="L55" i="19"/>
  <c r="K55" i="19"/>
  <c r="J55" i="19"/>
  <c r="I55" i="19"/>
  <c r="H55" i="19"/>
  <c r="L52" i="19"/>
  <c r="K52" i="19"/>
  <c r="J52" i="19"/>
  <c r="I52" i="19"/>
  <c r="H52" i="19"/>
  <c r="M2" i="19"/>
  <c r="M3" i="19" s="1"/>
  <c r="L57" i="22" l="1"/>
  <c r="L68" i="22"/>
  <c r="M57" i="22"/>
  <c r="M68" i="22"/>
  <c r="S59" i="22"/>
  <c r="S65" i="22"/>
  <c r="T65" i="22" s="1"/>
  <c r="N57" i="22"/>
  <c r="N68" i="22"/>
  <c r="K52" i="22"/>
  <c r="K55" i="22" s="1"/>
  <c r="O57" i="22"/>
  <c r="O68" i="22"/>
  <c r="P57" i="22"/>
  <c r="P68" i="22"/>
  <c r="Q57" i="22"/>
  <c r="Q68" i="22"/>
  <c r="L32" i="22"/>
  <c r="M32" i="22"/>
  <c r="H57" i="22"/>
  <c r="H68" i="22"/>
  <c r="J32" i="22"/>
  <c r="J36" i="22" s="1"/>
  <c r="J38" i="22" s="1"/>
  <c r="K57" i="22"/>
  <c r="J64" i="22"/>
  <c r="I57" i="22"/>
  <c r="I68" i="22"/>
  <c r="P32" i="22"/>
  <c r="O64" i="22"/>
  <c r="J57" i="22"/>
  <c r="J68" i="22"/>
  <c r="J66" i="22"/>
  <c r="O57" i="21"/>
  <c r="O68" i="21"/>
  <c r="P57" i="21"/>
  <c r="P68" i="21"/>
  <c r="L32" i="21"/>
  <c r="Q57" i="21"/>
  <c r="Q68" i="21"/>
  <c r="N32" i="21"/>
  <c r="O32" i="21"/>
  <c r="H57" i="21"/>
  <c r="E57" i="21" s="1"/>
  <c r="R18" i="21"/>
  <c r="P32" i="21"/>
  <c r="J66" i="21"/>
  <c r="J57" i="21"/>
  <c r="I57" i="21"/>
  <c r="I68" i="21"/>
  <c r="J64" i="21"/>
  <c r="L66" i="21"/>
  <c r="L64" i="21"/>
  <c r="I23" i="21"/>
  <c r="I66" i="21" s="1"/>
  <c r="K57" i="21"/>
  <c r="K68" i="21"/>
  <c r="N64" i="21"/>
  <c r="N57" i="21"/>
  <c r="N68" i="21"/>
  <c r="L57" i="21"/>
  <c r="L68" i="21"/>
  <c r="K23" i="21"/>
  <c r="M57" i="21"/>
  <c r="M68" i="21"/>
  <c r="H52" i="21"/>
  <c r="H55" i="21" s="1"/>
  <c r="R17" i="21"/>
  <c r="R14" i="21"/>
  <c r="R68" i="21" s="1"/>
  <c r="R31" i="19"/>
  <c r="S31" i="19" s="1"/>
  <c r="T31" i="19" s="1"/>
  <c r="O237" i="23"/>
  <c r="E62" i="21"/>
  <c r="F62" i="21" s="1"/>
  <c r="R62" i="21" s="1"/>
  <c r="R19" i="21" s="1"/>
  <c r="E59" i="22"/>
  <c r="E65" i="22"/>
  <c r="I66" i="22"/>
  <c r="E57" i="22"/>
  <c r="E58" i="22"/>
  <c r="E62" i="22"/>
  <c r="F62" i="22" s="1"/>
  <c r="O66" i="22"/>
  <c r="N66" i="22"/>
  <c r="N36" i="22"/>
  <c r="N38" i="22" s="1"/>
  <c r="E61" i="22"/>
  <c r="P66" i="22"/>
  <c r="T59" i="22"/>
  <c r="T66" i="22"/>
  <c r="Q32" i="22"/>
  <c r="K23" i="22"/>
  <c r="K36" i="22" s="1"/>
  <c r="K38" i="22" s="1"/>
  <c r="S58" i="22"/>
  <c r="K64" i="22"/>
  <c r="L23" i="22"/>
  <c r="H52" i="22"/>
  <c r="L64" i="22"/>
  <c r="M23" i="22"/>
  <c r="M36" i="22" s="1"/>
  <c r="M38" i="22" s="1"/>
  <c r="H32" i="22"/>
  <c r="I52" i="22"/>
  <c r="M64" i="22"/>
  <c r="I32" i="22"/>
  <c r="I36" i="22" s="1"/>
  <c r="I38" i="22" s="1"/>
  <c r="J52" i="22"/>
  <c r="N64" i="22"/>
  <c r="O23" i="22"/>
  <c r="O36" i="22" s="1"/>
  <c r="O38" i="22" s="1"/>
  <c r="P23" i="22"/>
  <c r="P36" i="22" s="1"/>
  <c r="P38" i="22" s="1"/>
  <c r="K32" i="22"/>
  <c r="L52" i="22"/>
  <c r="H60" i="22"/>
  <c r="P64" i="22"/>
  <c r="Q23" i="22"/>
  <c r="Q66" i="22" s="1"/>
  <c r="I60" i="22"/>
  <c r="L49" i="22"/>
  <c r="H23" i="22"/>
  <c r="H66" i="22" s="1"/>
  <c r="E61" i="21"/>
  <c r="K66" i="21"/>
  <c r="Q66" i="21"/>
  <c r="L36" i="21"/>
  <c r="M66" i="21"/>
  <c r="M36" i="21"/>
  <c r="E59" i="21"/>
  <c r="E65" i="21"/>
  <c r="T61" i="21"/>
  <c r="T65" i="21"/>
  <c r="N66" i="21"/>
  <c r="E58" i="21"/>
  <c r="T66" i="21"/>
  <c r="Q32" i="21"/>
  <c r="K64" i="21"/>
  <c r="H54" i="21"/>
  <c r="H32" i="21"/>
  <c r="I52" i="21"/>
  <c r="S59" i="21"/>
  <c r="M64" i="21"/>
  <c r="O23" i="21"/>
  <c r="J32" i="21"/>
  <c r="J36" i="21" s="1"/>
  <c r="K52" i="21"/>
  <c r="O64" i="21"/>
  <c r="P23" i="21"/>
  <c r="K32" i="21"/>
  <c r="K36" i="21" s="1"/>
  <c r="L52" i="21"/>
  <c r="H60" i="21"/>
  <c r="P64" i="21"/>
  <c r="N23" i="21"/>
  <c r="Q23" i="21"/>
  <c r="I60" i="21"/>
  <c r="L49" i="21"/>
  <c r="I32" i="21"/>
  <c r="I36" i="21" s="1"/>
  <c r="J52" i="21"/>
  <c r="H23" i="21"/>
  <c r="E65" i="19"/>
  <c r="E68" i="19"/>
  <c r="E61" i="19"/>
  <c r="E63" i="19"/>
  <c r="E64" i="19"/>
  <c r="F64" i="19" s="1"/>
  <c r="T63" i="19"/>
  <c r="N83" i="24"/>
  <c r="M83" i="24"/>
  <c r="D65" i="24"/>
  <c r="D83" i="24"/>
  <c r="E65" i="24"/>
  <c r="D75" i="24"/>
  <c r="Q156" i="24"/>
  <c r="P165" i="24"/>
  <c r="N18" i="24"/>
  <c r="C66" i="24"/>
  <c r="A105" i="24"/>
  <c r="A102" i="24" s="1"/>
  <c r="M20" i="24"/>
  <c r="M21" i="24" s="1"/>
  <c r="I65" i="24"/>
  <c r="J65" i="24"/>
  <c r="J83" i="24"/>
  <c r="K65" i="24"/>
  <c r="O158" i="24"/>
  <c r="L65" i="24"/>
  <c r="M75" i="24"/>
  <c r="O238" i="24"/>
  <c r="P237" i="24"/>
  <c r="M13" i="24"/>
  <c r="M14" i="24" s="1"/>
  <c r="N238" i="24"/>
  <c r="O103" i="23"/>
  <c r="P102" i="23"/>
  <c r="I75" i="23"/>
  <c r="H66" i="23"/>
  <c r="I66" i="23"/>
  <c r="N11" i="23"/>
  <c r="O11" i="23" s="1"/>
  <c r="P11" i="23" s="1"/>
  <c r="Q11" i="23" s="1"/>
  <c r="A57" i="23"/>
  <c r="A54" i="23" s="1"/>
  <c r="M82" i="23"/>
  <c r="J14" i="23"/>
  <c r="C16" i="23"/>
  <c r="M23" i="23"/>
  <c r="F69" i="23"/>
  <c r="M74" i="23"/>
  <c r="G77" i="23"/>
  <c r="C83" i="23"/>
  <c r="H85" i="23"/>
  <c r="P156" i="23"/>
  <c r="Q165" i="23"/>
  <c r="E65" i="23"/>
  <c r="E83" i="23"/>
  <c r="F65" i="23"/>
  <c r="E75" i="23"/>
  <c r="P237" i="23"/>
  <c r="N18" i="23"/>
  <c r="J69" i="23"/>
  <c r="P158" i="23"/>
  <c r="N238" i="23"/>
  <c r="H62" i="19"/>
  <c r="I62" i="19"/>
  <c r="J62" i="19"/>
  <c r="K62" i="19"/>
  <c r="E60" i="19"/>
  <c r="J59" i="19"/>
  <c r="M59" i="19"/>
  <c r="K59" i="19"/>
  <c r="N59" i="19"/>
  <c r="O59" i="19"/>
  <c r="P59" i="19"/>
  <c r="Q59" i="19"/>
  <c r="H59" i="19"/>
  <c r="E67" i="19"/>
  <c r="I59" i="19"/>
  <c r="L59" i="19"/>
  <c r="K54" i="19"/>
  <c r="K56" i="19" s="1"/>
  <c r="L54" i="19"/>
  <c r="L57" i="19" s="1"/>
  <c r="J54" i="19"/>
  <c r="J57" i="19" s="1"/>
  <c r="N32" i="19"/>
  <c r="P32" i="19"/>
  <c r="O32" i="19"/>
  <c r="Q32" i="19"/>
  <c r="I32" i="19"/>
  <c r="L32" i="19"/>
  <c r="M32" i="19"/>
  <c r="J32" i="19"/>
  <c r="H32" i="19"/>
  <c r="K32" i="19"/>
  <c r="L23" i="19"/>
  <c r="L69" i="19" s="1"/>
  <c r="H51" i="19"/>
  <c r="M23" i="19"/>
  <c r="M69" i="19" s="1"/>
  <c r="H54" i="19"/>
  <c r="M54" i="19" s="1"/>
  <c r="I54" i="19"/>
  <c r="I57" i="19" s="1"/>
  <c r="K23" i="19"/>
  <c r="N23" i="19"/>
  <c r="N69" i="19" s="1"/>
  <c r="O23" i="19"/>
  <c r="O69" i="19" s="1"/>
  <c r="P23" i="19"/>
  <c r="P69" i="19" s="1"/>
  <c r="Q23" i="19"/>
  <c r="Q69" i="19" s="1"/>
  <c r="H23" i="19"/>
  <c r="H69" i="19" s="1"/>
  <c r="I23" i="19"/>
  <c r="I69" i="19" s="1"/>
  <c r="J23" i="19"/>
  <c r="J69" i="19" s="1"/>
  <c r="I51" i="19"/>
  <c r="M55" i="19"/>
  <c r="N2" i="19"/>
  <c r="N3" i="19" s="1"/>
  <c r="J51" i="19"/>
  <c r="K51" i="19"/>
  <c r="L51" i="19"/>
  <c r="E64" i="22" l="1"/>
  <c r="L36" i="22"/>
  <c r="L38" i="22" s="1"/>
  <c r="K54" i="22"/>
  <c r="M66" i="22"/>
  <c r="L38" i="21"/>
  <c r="L42" i="21"/>
  <c r="P36" i="21"/>
  <c r="S62" i="21"/>
  <c r="I38" i="21"/>
  <c r="I42" i="21"/>
  <c r="J38" i="21"/>
  <c r="J42" i="21"/>
  <c r="M38" i="21"/>
  <c r="M42" i="21"/>
  <c r="K38" i="21"/>
  <c r="K42" i="21"/>
  <c r="O36" i="21"/>
  <c r="M52" i="21"/>
  <c r="M54" i="21" s="1"/>
  <c r="H36" i="21"/>
  <c r="N36" i="21"/>
  <c r="K69" i="19"/>
  <c r="K38" i="19"/>
  <c r="O238" i="23"/>
  <c r="E64" i="21"/>
  <c r="E60" i="22"/>
  <c r="L66" i="22"/>
  <c r="K66" i="22"/>
  <c r="E66" i="22"/>
  <c r="L54" i="22"/>
  <c r="L55" i="22"/>
  <c r="H55" i="22"/>
  <c r="M52" i="22"/>
  <c r="M54" i="22" s="1"/>
  <c r="H54" i="22"/>
  <c r="T58" i="22"/>
  <c r="H36" i="22"/>
  <c r="H38" i="22" s="1"/>
  <c r="J55" i="22"/>
  <c r="J54" i="22"/>
  <c r="Q36" i="22"/>
  <c r="Q38" i="22" s="1"/>
  <c r="I55" i="22"/>
  <c r="I54" i="22"/>
  <c r="S62" i="22"/>
  <c r="J55" i="21"/>
  <c r="J54" i="21"/>
  <c r="O66" i="21"/>
  <c r="K55" i="21"/>
  <c r="K54" i="21"/>
  <c r="Q36" i="21"/>
  <c r="T59" i="21"/>
  <c r="P66" i="21"/>
  <c r="T62" i="21"/>
  <c r="H66" i="21"/>
  <c r="I55" i="21"/>
  <c r="I54" i="21"/>
  <c r="E60" i="21"/>
  <c r="L54" i="21"/>
  <c r="L55" i="21"/>
  <c r="T68" i="19"/>
  <c r="T27" i="19" s="1"/>
  <c r="E69" i="19"/>
  <c r="S64" i="19"/>
  <c r="M23" i="24"/>
  <c r="N20" i="24"/>
  <c r="N21" i="24" s="1"/>
  <c r="O18" i="24"/>
  <c r="N13" i="24"/>
  <c r="N14" i="24" s="1"/>
  <c r="Q165" i="24"/>
  <c r="P238" i="24"/>
  <c r="Q237" i="24"/>
  <c r="Q238" i="24" s="1"/>
  <c r="P158" i="24"/>
  <c r="N75" i="23"/>
  <c r="M75" i="23"/>
  <c r="M24" i="23"/>
  <c r="M66" i="23"/>
  <c r="M61" i="23" s="1"/>
  <c r="M71" i="23"/>
  <c r="M15" i="23"/>
  <c r="M16" i="23" s="1"/>
  <c r="M79" i="23"/>
  <c r="M87" i="23"/>
  <c r="Q158" i="23"/>
  <c r="P103" i="23"/>
  <c r="Q102" i="23"/>
  <c r="Q103" i="23" s="1"/>
  <c r="P238" i="23"/>
  <c r="Q237" i="23"/>
  <c r="Q238" i="23" s="1"/>
  <c r="Q156" i="23"/>
  <c r="O18" i="23"/>
  <c r="N13" i="23"/>
  <c r="N14" i="23" s="1"/>
  <c r="N20" i="23"/>
  <c r="N21" i="23" s="1"/>
  <c r="N83" i="23"/>
  <c r="M83" i="23"/>
  <c r="K57" i="19"/>
  <c r="H38" i="19"/>
  <c r="E59" i="19"/>
  <c r="L56" i="19"/>
  <c r="J56" i="19"/>
  <c r="P38" i="19"/>
  <c r="I38" i="19"/>
  <c r="N38" i="19"/>
  <c r="L38" i="19"/>
  <c r="K40" i="19"/>
  <c r="O38" i="19"/>
  <c r="Q38" i="19"/>
  <c r="J38" i="19"/>
  <c r="M38" i="19"/>
  <c r="I56" i="19"/>
  <c r="H57" i="19"/>
  <c r="H56" i="19"/>
  <c r="M56" i="19"/>
  <c r="O2" i="19"/>
  <c r="O3" i="19" s="1"/>
  <c r="R26" i="22" l="1"/>
  <c r="R19" i="22"/>
  <c r="R18" i="22"/>
  <c r="R27" i="22"/>
  <c r="R15" i="22"/>
  <c r="R16" i="22"/>
  <c r="N38" i="21"/>
  <c r="N42" i="21"/>
  <c r="H38" i="21"/>
  <c r="H42" i="21"/>
  <c r="P38" i="21"/>
  <c r="P42" i="21"/>
  <c r="Q38" i="21"/>
  <c r="Q42" i="21"/>
  <c r="O38" i="21"/>
  <c r="O42" i="21"/>
  <c r="H40" i="19"/>
  <c r="L40" i="19"/>
  <c r="N40" i="19"/>
  <c r="J40" i="19"/>
  <c r="O40" i="19"/>
  <c r="I40" i="19"/>
  <c r="M40" i="19"/>
  <c r="P40" i="19"/>
  <c r="Q40" i="19"/>
  <c r="Q44" i="19"/>
  <c r="N23" i="24"/>
  <c r="S19" i="22" s="1"/>
  <c r="T62" i="22"/>
  <c r="E66" i="21"/>
  <c r="T64" i="19"/>
  <c r="M71" i="24"/>
  <c r="M79" i="24"/>
  <c r="M87" i="24"/>
  <c r="M15" i="24"/>
  <c r="M16" i="24" s="1"/>
  <c r="M24" i="24"/>
  <c r="M66" i="24"/>
  <c r="M61" i="24" s="1"/>
  <c r="Q158" i="24"/>
  <c r="O20" i="24"/>
  <c r="O21" i="24" s="1"/>
  <c r="P18" i="24"/>
  <c r="O13" i="24"/>
  <c r="O14" i="24" s="1"/>
  <c r="P18" i="23"/>
  <c r="O13" i="23"/>
  <c r="O14" i="23" s="1"/>
  <c r="O20" i="23"/>
  <c r="O21" i="23" s="1"/>
  <c r="M73" i="23"/>
  <c r="M76" i="23"/>
  <c r="M77" i="23" s="1"/>
  <c r="M92" i="23"/>
  <c r="M68" i="23"/>
  <c r="M69" i="23" s="1"/>
  <c r="M91" i="23"/>
  <c r="M100" i="23"/>
  <c r="M105" i="23" s="1"/>
  <c r="M63" i="23"/>
  <c r="N23" i="23"/>
  <c r="M81" i="23"/>
  <c r="M84" i="23"/>
  <c r="M85" i="23" s="1"/>
  <c r="P2" i="19"/>
  <c r="P3" i="19" s="1"/>
  <c r="R17" i="22" l="1"/>
  <c r="R14" i="22"/>
  <c r="R68" i="22" s="1"/>
  <c r="O23" i="24"/>
  <c r="T26" i="22"/>
  <c r="T18" i="22"/>
  <c r="T16" i="22"/>
  <c r="T27" i="22"/>
  <c r="T19" i="22"/>
  <c r="S18" i="22"/>
  <c r="S15" i="22"/>
  <c r="S26" i="22"/>
  <c r="S16" i="22"/>
  <c r="S27" i="22"/>
  <c r="T15" i="22"/>
  <c r="O23" i="23"/>
  <c r="S18" i="21"/>
  <c r="S16" i="21"/>
  <c r="S26" i="21"/>
  <c r="S19" i="21"/>
  <c r="S27" i="21"/>
  <c r="S15" i="21"/>
  <c r="M63" i="24"/>
  <c r="M100" i="24"/>
  <c r="M105" i="24" s="1"/>
  <c r="M91" i="24"/>
  <c r="M68" i="24"/>
  <c r="M69" i="24" s="1"/>
  <c r="O87" i="24"/>
  <c r="O15" i="24"/>
  <c r="O24" i="24"/>
  <c r="O66" i="24"/>
  <c r="O61" i="24" s="1"/>
  <c r="O71" i="24"/>
  <c r="O79" i="24"/>
  <c r="P20" i="24"/>
  <c r="P21" i="24" s="1"/>
  <c r="Q18" i="24"/>
  <c r="P13" i="24"/>
  <c r="P14" i="24" s="1"/>
  <c r="M81" i="24"/>
  <c r="M84" i="24"/>
  <c r="M85" i="24" s="1"/>
  <c r="M92" i="24"/>
  <c r="M76" i="24"/>
  <c r="M77" i="24" s="1"/>
  <c r="M73" i="24"/>
  <c r="N79" i="24"/>
  <c r="N87" i="24"/>
  <c r="N15" i="24"/>
  <c r="N16" i="24" s="1"/>
  <c r="N24" i="24"/>
  <c r="N66" i="24"/>
  <c r="N61" i="24" s="1"/>
  <c r="N71" i="24"/>
  <c r="N24" i="23"/>
  <c r="N66" i="23"/>
  <c r="N61" i="23" s="1"/>
  <c r="N71" i="23"/>
  <c r="N79" i="23"/>
  <c r="N87" i="23"/>
  <c r="N15" i="23"/>
  <c r="N16" i="23" s="1"/>
  <c r="M93" i="23"/>
  <c r="O24" i="23"/>
  <c r="O66" i="23"/>
  <c r="O61" i="23" s="1"/>
  <c r="O71" i="23"/>
  <c r="O79" i="23"/>
  <c r="O87" i="23"/>
  <c r="O15" i="23"/>
  <c r="P13" i="23"/>
  <c r="P14" i="23" s="1"/>
  <c r="P20" i="23"/>
  <c r="P21" i="23" s="1"/>
  <c r="Q18" i="23"/>
  <c r="Q2" i="19"/>
  <c r="Q3" i="19" s="1"/>
  <c r="N100" i="24" l="1"/>
  <c r="N91" i="24"/>
  <c r="S14" i="22"/>
  <c r="S68" i="22" s="1"/>
  <c r="S17" i="22"/>
  <c r="T17" i="22"/>
  <c r="T14" i="22"/>
  <c r="T68" i="22" s="1"/>
  <c r="S14" i="21"/>
  <c r="S68" i="21" s="1"/>
  <c r="S17" i="21"/>
  <c r="T18" i="21"/>
  <c r="T16" i="21"/>
  <c r="T26" i="21"/>
  <c r="T19" i="21"/>
  <c r="T27" i="21"/>
  <c r="T15" i="21"/>
  <c r="O16" i="23"/>
  <c r="N81" i="24"/>
  <c r="N84" i="24"/>
  <c r="N85" i="24" s="1"/>
  <c r="O81" i="24"/>
  <c r="O84" i="24"/>
  <c r="O73" i="24"/>
  <c r="O76" i="24"/>
  <c r="O77" i="24" s="1"/>
  <c r="O92" i="24"/>
  <c r="O63" i="24"/>
  <c r="O100" i="24"/>
  <c r="O105" i="24" s="1"/>
  <c r="O91" i="24"/>
  <c r="O68" i="24"/>
  <c r="O16" i="24"/>
  <c r="N92" i="24"/>
  <c r="N73" i="24"/>
  <c r="N76" i="24"/>
  <c r="N77" i="24" s="1"/>
  <c r="N63" i="24"/>
  <c r="N105" i="24"/>
  <c r="N68" i="24"/>
  <c r="N69" i="24" s="1"/>
  <c r="P23" i="24"/>
  <c r="M93" i="24"/>
  <c r="Q20" i="24"/>
  <c r="Q21" i="24" s="1"/>
  <c r="Q13" i="24"/>
  <c r="Q14" i="24" s="1"/>
  <c r="P23" i="23"/>
  <c r="N76" i="23"/>
  <c r="N77" i="23" s="1"/>
  <c r="N92" i="23"/>
  <c r="N73" i="23"/>
  <c r="N68" i="23"/>
  <c r="N69" i="23" s="1"/>
  <c r="N91" i="23"/>
  <c r="N100" i="23"/>
  <c r="N105" i="23" s="1"/>
  <c r="N63" i="23"/>
  <c r="O68" i="23"/>
  <c r="O63" i="23"/>
  <c r="O100" i="23"/>
  <c r="O105" i="23" s="1"/>
  <c r="O91" i="23"/>
  <c r="O84" i="23"/>
  <c r="O81" i="23"/>
  <c r="O76" i="23"/>
  <c r="O92" i="23"/>
  <c r="O73" i="23"/>
  <c r="N84" i="23"/>
  <c r="N85" i="23" s="1"/>
  <c r="N81" i="23"/>
  <c r="Q13" i="23"/>
  <c r="Q14" i="23" s="1"/>
  <c r="Q20" i="23"/>
  <c r="Q21" i="23" s="1"/>
  <c r="R2" i="19"/>
  <c r="R3" i="19" s="1"/>
  <c r="O93" i="23" l="1"/>
  <c r="N93" i="24"/>
  <c r="Q23" i="24"/>
  <c r="Q87" i="24" s="1"/>
  <c r="O93" i="24"/>
  <c r="T17" i="21"/>
  <c r="T14" i="21"/>
  <c r="T68" i="21" s="1"/>
  <c r="N93" i="23"/>
  <c r="O85" i="24"/>
  <c r="O69" i="23"/>
  <c r="Q15" i="24"/>
  <c r="Q24" i="24"/>
  <c r="Q61" i="24"/>
  <c r="P15" i="24"/>
  <c r="P16" i="24" s="1"/>
  <c r="P24" i="24"/>
  <c r="P61" i="24"/>
  <c r="P79" i="24"/>
  <c r="P87" i="24"/>
  <c r="P71" i="24"/>
  <c r="O69" i="24"/>
  <c r="P24" i="23"/>
  <c r="P61" i="23"/>
  <c r="P71" i="23"/>
  <c r="P79" i="23"/>
  <c r="P87" i="23"/>
  <c r="P15" i="23"/>
  <c r="P16" i="23" s="1"/>
  <c r="O77" i="23"/>
  <c r="O85" i="23"/>
  <c r="Q23" i="23"/>
  <c r="S2" i="19"/>
  <c r="S3" i="19" s="1"/>
  <c r="Q71" i="24" l="1"/>
  <c r="Q79" i="24"/>
  <c r="Q92" i="24" s="1"/>
  <c r="Q16" i="24"/>
  <c r="P63" i="24"/>
  <c r="P100" i="24"/>
  <c r="P105" i="24" s="1"/>
  <c r="P91" i="24"/>
  <c r="P68" i="24"/>
  <c r="P69" i="24" s="1"/>
  <c r="P81" i="24"/>
  <c r="P84" i="24"/>
  <c r="P85" i="24" s="1"/>
  <c r="Q81" i="24"/>
  <c r="Q84" i="24"/>
  <c r="Q85" i="24" s="1"/>
  <c r="Q73" i="24"/>
  <c r="Q76" i="24"/>
  <c r="Q63" i="24"/>
  <c r="Q100" i="24"/>
  <c r="Q105" i="24" s="1"/>
  <c r="Q91" i="24"/>
  <c r="Q68" i="24"/>
  <c r="P73" i="24"/>
  <c r="P76" i="24"/>
  <c r="P77" i="24" s="1"/>
  <c r="P92" i="24"/>
  <c r="Q61" i="23"/>
  <c r="Q71" i="23"/>
  <c r="Q79" i="23"/>
  <c r="Q87" i="23"/>
  <c r="Q24" i="23"/>
  <c r="Q15" i="23"/>
  <c r="Q16" i="23" s="1"/>
  <c r="P68" i="23"/>
  <c r="P69" i="23" s="1"/>
  <c r="P63" i="23"/>
  <c r="P100" i="23"/>
  <c r="P105" i="23" s="1"/>
  <c r="P91" i="23"/>
  <c r="P84" i="23"/>
  <c r="P85" i="23" s="1"/>
  <c r="P81" i="23"/>
  <c r="P76" i="23"/>
  <c r="P77" i="23" s="1"/>
  <c r="P92" i="23"/>
  <c r="P73" i="23"/>
  <c r="T2" i="19"/>
  <c r="T3" i="19" s="1"/>
  <c r="Q93" i="24" l="1"/>
  <c r="P93" i="24"/>
  <c r="P93" i="23"/>
  <c r="Q69" i="24"/>
  <c r="Q77" i="24"/>
  <c r="Q92" i="23"/>
  <c r="Q76" i="23"/>
  <c r="Q77" i="23" s="1"/>
  <c r="Q73" i="23"/>
  <c r="Q63" i="23"/>
  <c r="Q100" i="23"/>
  <c r="Q105" i="23" s="1"/>
  <c r="Q91" i="23"/>
  <c r="Q68" i="23"/>
  <c r="Q69" i="23" s="1"/>
  <c r="Q84" i="23"/>
  <c r="Q85" i="23" s="1"/>
  <c r="Q81" i="23"/>
  <c r="Q93" i="23" l="1"/>
  <c r="M206" i="11" l="1"/>
  <c r="L92" i="9"/>
  <c r="L91" i="9"/>
  <c r="B280" i="11"/>
  <c r="B276" i="11"/>
  <c r="C92" i="9"/>
  <c r="D92" i="9"/>
  <c r="E92" i="9"/>
  <c r="F92" i="9"/>
  <c r="G92" i="9"/>
  <c r="H92" i="9"/>
  <c r="I92" i="9"/>
  <c r="J92" i="9"/>
  <c r="K92" i="9"/>
  <c r="B92" i="9"/>
  <c r="B91" i="9"/>
  <c r="C89" i="9"/>
  <c r="D89" i="9"/>
  <c r="E89" i="9"/>
  <c r="F89" i="9"/>
  <c r="G89" i="9"/>
  <c r="H89" i="9"/>
  <c r="I89" i="9"/>
  <c r="J89" i="9"/>
  <c r="K89" i="9"/>
  <c r="L89" i="9"/>
  <c r="B89" i="9"/>
  <c r="C91" i="9"/>
  <c r="D91" i="9"/>
  <c r="E91" i="9"/>
  <c r="F91" i="9"/>
  <c r="G91" i="9"/>
  <c r="H91" i="9"/>
  <c r="H93" i="9" s="1"/>
  <c r="I91" i="9"/>
  <c r="J91" i="9"/>
  <c r="K91" i="9"/>
  <c r="N83" i="9"/>
  <c r="O83" i="9"/>
  <c r="P83" i="9"/>
  <c r="Q83" i="9"/>
  <c r="C82" i="9"/>
  <c r="D82" i="9"/>
  <c r="D83" i="9" s="1"/>
  <c r="E82" i="9"/>
  <c r="F82" i="9"/>
  <c r="F83" i="9" s="1"/>
  <c r="G82" i="9"/>
  <c r="H82" i="9"/>
  <c r="I82" i="9"/>
  <c r="J82" i="9"/>
  <c r="K82" i="9"/>
  <c r="L82" i="9"/>
  <c r="L83" i="9" s="1"/>
  <c r="B82" i="9"/>
  <c r="B278" i="11"/>
  <c r="B275" i="11"/>
  <c r="B274" i="11"/>
  <c r="B64" i="9"/>
  <c r="B66" i="9" s="1"/>
  <c r="I62" i="11"/>
  <c r="I58" i="11"/>
  <c r="I55" i="11"/>
  <c r="D93" i="9" l="1"/>
  <c r="E93" i="9"/>
  <c r="J83" i="9"/>
  <c r="G93" i="9"/>
  <c r="I83" i="9"/>
  <c r="F93" i="9"/>
  <c r="L93" i="9"/>
  <c r="J93" i="9"/>
  <c r="C93" i="9"/>
  <c r="K93" i="9"/>
  <c r="H83" i="9"/>
  <c r="I93" i="9"/>
  <c r="C83" i="9"/>
  <c r="B93" i="9"/>
  <c r="M83" i="9"/>
  <c r="G83" i="9"/>
  <c r="K83" i="9"/>
  <c r="E83" i="9"/>
  <c r="L166" i="11"/>
  <c r="K196" i="11"/>
  <c r="J196" i="11"/>
  <c r="I196" i="11"/>
  <c r="H196" i="11"/>
  <c r="G196" i="11"/>
  <c r="F196" i="11"/>
  <c r="E196" i="11"/>
  <c r="D196" i="11"/>
  <c r="C196" i="11"/>
  <c r="B196" i="11"/>
  <c r="B58" i="11"/>
  <c r="B60" i="11" s="1"/>
  <c r="H128" i="11"/>
  <c r="D128" i="11"/>
  <c r="K18" i="11"/>
  <c r="J18" i="11"/>
  <c r="I18" i="11"/>
  <c r="H18" i="11"/>
  <c r="G18" i="11"/>
  <c r="F18" i="11"/>
  <c r="E18" i="11"/>
  <c r="D18" i="11"/>
  <c r="C18" i="11"/>
  <c r="B18" i="11"/>
  <c r="J128" i="11"/>
  <c r="A55" i="15"/>
  <c r="A49" i="15"/>
  <c r="A41" i="15"/>
  <c r="A35" i="15"/>
  <c r="E128" i="11"/>
  <c r="F128" i="11"/>
  <c r="G128" i="11"/>
  <c r="I128" i="11"/>
  <c r="K128" i="11"/>
  <c r="B128" i="11"/>
  <c r="C128" i="11"/>
  <c r="B102" i="11"/>
  <c r="C102" i="11"/>
  <c r="D102" i="11"/>
  <c r="E102" i="11"/>
  <c r="F102" i="11"/>
  <c r="G102" i="11"/>
  <c r="H102" i="11"/>
  <c r="I102" i="11"/>
  <c r="J102" i="11"/>
  <c r="K102" i="11"/>
  <c r="B53" i="11"/>
  <c r="C53" i="11"/>
  <c r="E53" i="11"/>
  <c r="F53" i="11"/>
  <c r="B59" i="11" l="1"/>
  <c r="C131" i="11"/>
  <c r="C133" i="11" s="1"/>
  <c r="B131" i="11"/>
  <c r="B133" i="11" s="1"/>
  <c r="J131" i="11"/>
  <c r="J133" i="11" s="1"/>
  <c r="K131" i="11"/>
  <c r="K133" i="11" s="1"/>
  <c r="E131" i="11"/>
  <c r="E133" i="11" s="1"/>
  <c r="I131" i="11"/>
  <c r="I133" i="11" s="1"/>
  <c r="G131" i="11"/>
  <c r="G133" i="11" s="1"/>
  <c r="D131" i="11"/>
  <c r="D133" i="11" s="1"/>
  <c r="H131" i="11"/>
  <c r="H133" i="11" s="1"/>
  <c r="F131" i="11"/>
  <c r="F133" i="11" s="1"/>
  <c r="G17" i="15"/>
  <c r="D18" i="15"/>
  <c r="E18" i="15"/>
  <c r="C18" i="15"/>
  <c r="C13" i="15"/>
  <c r="B13" i="15"/>
  <c r="D9" i="15"/>
  <c r="C4" i="15"/>
  <c r="B4" i="15"/>
  <c r="C12" i="15"/>
  <c r="C10" i="15"/>
  <c r="C14" i="15"/>
  <c r="B14" i="15"/>
  <c r="D3" i="15"/>
  <c r="E3" i="15"/>
  <c r="C3" i="15"/>
  <c r="E35" i="11"/>
  <c r="B35" i="11"/>
  <c r="F37" i="11"/>
  <c r="E37" i="11"/>
  <c r="C37" i="11"/>
  <c r="B37" i="11"/>
  <c r="F38" i="11"/>
  <c r="F45" i="11" s="1"/>
  <c r="E38" i="11"/>
  <c r="E45" i="11" s="1"/>
  <c r="C38" i="11"/>
  <c r="B38" i="11"/>
  <c r="B45" i="11" s="1"/>
  <c r="F41" i="11"/>
  <c r="C41" i="11"/>
  <c r="E41" i="11"/>
  <c r="B41" i="11"/>
  <c r="Q7" i="11"/>
  <c r="P7" i="11"/>
  <c r="O7" i="11"/>
  <c r="N7" i="11"/>
  <c r="M7" i="11"/>
  <c r="L7" i="11"/>
  <c r="K7" i="11"/>
  <c r="J7" i="11"/>
  <c r="I7" i="11"/>
  <c r="H7" i="11"/>
  <c r="G7" i="11"/>
  <c r="F7" i="11"/>
  <c r="E7" i="11"/>
  <c r="D7" i="11"/>
  <c r="C7" i="11"/>
  <c r="B7" i="11"/>
  <c r="F29" i="11"/>
  <c r="E29" i="11"/>
  <c r="D29" i="11"/>
  <c r="C29" i="11"/>
  <c r="B29" i="11"/>
  <c r="B6" i="15" l="1"/>
  <c r="B21" i="15"/>
  <c r="C15" i="15"/>
  <c r="C21" i="15"/>
  <c r="C5" i="15"/>
  <c r="E9" i="15"/>
  <c r="C6" i="15"/>
  <c r="C7" i="15" s="1"/>
  <c r="G9" i="15"/>
  <c r="G4" i="15" s="1"/>
  <c r="H135" i="11"/>
  <c r="H136" i="11"/>
  <c r="C135" i="11"/>
  <c r="C136" i="11"/>
  <c r="D135" i="11"/>
  <c r="D136" i="11"/>
  <c r="B136" i="11"/>
  <c r="B135" i="11"/>
  <c r="F135" i="11"/>
  <c r="F136" i="11"/>
  <c r="G135" i="11"/>
  <c r="G136" i="11"/>
  <c r="E135" i="11"/>
  <c r="E136" i="11"/>
  <c r="K136" i="11"/>
  <c r="K135" i="11"/>
  <c r="I136" i="11"/>
  <c r="I135" i="11"/>
  <c r="J136" i="11"/>
  <c r="J135" i="11"/>
  <c r="F42" i="11"/>
  <c r="E42" i="11"/>
  <c r="E55" i="11" s="1"/>
  <c r="C42" i="11"/>
  <c r="B42" i="11"/>
  <c r="C40" i="11"/>
  <c r="C45" i="11"/>
  <c r="E40" i="11"/>
  <c r="D4" i="15"/>
  <c r="D5" i="15" s="1"/>
  <c r="B40" i="11"/>
  <c r="F40" i="11"/>
  <c r="B15" i="9"/>
  <c r="I9" i="15" l="1"/>
  <c r="E4" i="15"/>
  <c r="E5" i="15" s="1"/>
  <c r="E11" i="15"/>
  <c r="C100" i="9"/>
  <c r="D100" i="9"/>
  <c r="E100" i="9"/>
  <c r="F100" i="9"/>
  <c r="G100" i="9"/>
  <c r="H100" i="9"/>
  <c r="I100" i="9"/>
  <c r="J100" i="9"/>
  <c r="K100" i="9"/>
  <c r="L100" i="9"/>
  <c r="B100" i="9"/>
  <c r="A88" i="9"/>
  <c r="C84" i="9"/>
  <c r="D84" i="9"/>
  <c r="E84" i="9"/>
  <c r="F84" i="9"/>
  <c r="G84" i="9"/>
  <c r="H84" i="9"/>
  <c r="I84" i="9"/>
  <c r="J84" i="9"/>
  <c r="K84" i="9"/>
  <c r="L84" i="9"/>
  <c r="B84" i="9"/>
  <c r="L81" i="9"/>
  <c r="K81" i="9"/>
  <c r="J81" i="9"/>
  <c r="I81" i="9"/>
  <c r="H81" i="9"/>
  <c r="G81" i="9"/>
  <c r="F81" i="9"/>
  <c r="E81" i="9"/>
  <c r="D81" i="9"/>
  <c r="C81" i="9"/>
  <c r="A80" i="9"/>
  <c r="D73" i="9"/>
  <c r="E73" i="9"/>
  <c r="F73" i="9"/>
  <c r="G73" i="9"/>
  <c r="H73" i="9"/>
  <c r="I73" i="9"/>
  <c r="J73" i="9"/>
  <c r="K73" i="9"/>
  <c r="L73" i="9"/>
  <c r="C73" i="9"/>
  <c r="D63" i="9"/>
  <c r="E63" i="9"/>
  <c r="F63" i="9"/>
  <c r="G63" i="9"/>
  <c r="H63" i="9"/>
  <c r="I63" i="9"/>
  <c r="J63" i="9"/>
  <c r="K63" i="9"/>
  <c r="L63" i="9"/>
  <c r="C63" i="9"/>
  <c r="C74" i="9"/>
  <c r="D74" i="9"/>
  <c r="E74" i="9"/>
  <c r="F74" i="9"/>
  <c r="G74" i="9"/>
  <c r="H74" i="9"/>
  <c r="I74" i="9"/>
  <c r="J74" i="9"/>
  <c r="K74" i="9"/>
  <c r="L74" i="9"/>
  <c r="B74" i="9"/>
  <c r="C76" i="9"/>
  <c r="D76" i="9"/>
  <c r="E76" i="9"/>
  <c r="F76" i="9"/>
  <c r="G76" i="9"/>
  <c r="H76" i="9"/>
  <c r="I76" i="9"/>
  <c r="J76" i="9"/>
  <c r="K76" i="9"/>
  <c r="L76" i="9"/>
  <c r="B76" i="9"/>
  <c r="C68" i="9"/>
  <c r="D68" i="9"/>
  <c r="E68" i="9"/>
  <c r="F68" i="9"/>
  <c r="G68" i="9"/>
  <c r="H68" i="9"/>
  <c r="I68" i="9"/>
  <c r="J68" i="9"/>
  <c r="K68" i="9"/>
  <c r="L68" i="9"/>
  <c r="B68" i="9"/>
  <c r="C64" i="9"/>
  <c r="C66" i="9" s="1"/>
  <c r="D64" i="9"/>
  <c r="D66" i="9" s="1"/>
  <c r="E64" i="9"/>
  <c r="E66" i="9" s="1"/>
  <c r="F64" i="9"/>
  <c r="F66" i="9" s="1"/>
  <c r="G64" i="9"/>
  <c r="G66" i="9" s="1"/>
  <c r="H64" i="9"/>
  <c r="H66" i="9" s="1"/>
  <c r="I64" i="9"/>
  <c r="I66" i="9" s="1"/>
  <c r="J64" i="9"/>
  <c r="J66" i="9" s="1"/>
  <c r="K64" i="9"/>
  <c r="K66" i="9" s="1"/>
  <c r="L64" i="9"/>
  <c r="A72" i="9"/>
  <c r="J9" i="15" l="1"/>
  <c r="I4" i="15"/>
  <c r="I5" i="15" s="1"/>
  <c r="I11" i="15"/>
  <c r="I12" i="15" s="1"/>
  <c r="M65" i="9"/>
  <c r="L66" i="9"/>
  <c r="C75" i="9"/>
  <c r="I77" i="9"/>
  <c r="E69" i="9"/>
  <c r="F77" i="9"/>
  <c r="G69" i="9"/>
  <c r="L77" i="9"/>
  <c r="H77" i="9"/>
  <c r="D69" i="9"/>
  <c r="L69" i="9"/>
  <c r="I69" i="9"/>
  <c r="G77" i="9"/>
  <c r="F69" i="9"/>
  <c r="E77" i="9"/>
  <c r="J69" i="9"/>
  <c r="H69" i="9"/>
  <c r="K77" i="9"/>
  <c r="C69" i="9"/>
  <c r="C77" i="9"/>
  <c r="K69" i="9"/>
  <c r="D77" i="9"/>
  <c r="J77" i="9"/>
  <c r="M11" i="9"/>
  <c r="N11" i="9" s="1"/>
  <c r="D22" i="9"/>
  <c r="E22" i="9"/>
  <c r="F22" i="9"/>
  <c r="G22" i="9"/>
  <c r="H22" i="9"/>
  <c r="I22" i="9"/>
  <c r="J22" i="9"/>
  <c r="K22" i="9"/>
  <c r="L22" i="9"/>
  <c r="C22" i="9"/>
  <c r="I14" i="15" l="1"/>
  <c r="I21" i="15"/>
  <c r="K9" i="15"/>
  <c r="J4" i="15"/>
  <c r="J5" i="15" s="1"/>
  <c r="C21" i="9"/>
  <c r="F21" i="9"/>
  <c r="G21" i="9"/>
  <c r="H21" i="9"/>
  <c r="I21" i="9"/>
  <c r="J21" i="9"/>
  <c r="K21" i="9"/>
  <c r="L21" i="9"/>
  <c r="M18" i="9"/>
  <c r="N18" i="9" s="1"/>
  <c r="D21" i="9"/>
  <c r="E21" i="9"/>
  <c r="L9" i="15" l="1"/>
  <c r="N9" i="15"/>
  <c r="M13" i="9"/>
  <c r="M20" i="9"/>
  <c r="N20" i="9"/>
  <c r="O18" i="9" l="1"/>
  <c r="O20" i="9" s="1"/>
  <c r="P18" i="9" l="1"/>
  <c r="P20" i="9" s="1"/>
  <c r="Q18" i="9" l="1"/>
  <c r="Q20" i="9" s="1"/>
  <c r="C15" i="9" l="1"/>
  <c r="D15" i="9"/>
  <c r="E15" i="9"/>
  <c r="F15" i="9"/>
  <c r="G15" i="9"/>
  <c r="H15" i="9"/>
  <c r="I15" i="9"/>
  <c r="J15" i="9"/>
  <c r="K15" i="9"/>
  <c r="L15" i="9"/>
  <c r="B13" i="9"/>
  <c r="C13" i="9"/>
  <c r="D13" i="9"/>
  <c r="E13" i="9"/>
  <c r="F13" i="9"/>
  <c r="G13" i="9"/>
  <c r="H13" i="9"/>
  <c r="I13" i="9"/>
  <c r="J13" i="9"/>
  <c r="K13" i="9"/>
  <c r="L13" i="9"/>
  <c r="M14" i="9" s="1"/>
  <c r="N13" i="9" l="1"/>
  <c r="D16" i="9"/>
  <c r="E16" i="9"/>
  <c r="J16" i="9"/>
  <c r="G16" i="9"/>
  <c r="F16" i="9"/>
  <c r="I16" i="9"/>
  <c r="H16" i="9"/>
  <c r="C16" i="9"/>
  <c r="L16" i="9"/>
  <c r="K16" i="9"/>
  <c r="N14" i="9" l="1"/>
  <c r="O11" i="9"/>
  <c r="C24" i="9"/>
  <c r="D24" i="9"/>
  <c r="E24" i="9"/>
  <c r="F24" i="9"/>
  <c r="G24" i="9"/>
  <c r="H24" i="9"/>
  <c r="I24" i="9"/>
  <c r="J24" i="9"/>
  <c r="K24" i="9"/>
  <c r="L24" i="9"/>
  <c r="O13" i="9" l="1"/>
  <c r="H12" i="27" s="1"/>
  <c r="P11" i="9"/>
  <c r="H1" i="10"/>
  <c r="H1" i="8"/>
  <c r="Q11" i="9" l="1"/>
  <c r="N237" i="9"/>
  <c r="O237" i="9" s="1"/>
  <c r="P237" i="9" s="1"/>
  <c r="Q237" i="9" s="1"/>
  <c r="N230" i="9"/>
  <c r="L19" i="9" l="1"/>
  <c r="K19" i="9"/>
  <c r="J19" i="9"/>
  <c r="I19" i="9"/>
  <c r="H19" i="9"/>
  <c r="G19" i="9"/>
  <c r="F19" i="9"/>
  <c r="E19" i="9"/>
  <c r="D19" i="9"/>
  <c r="C19" i="9"/>
  <c r="C85" i="9" s="1"/>
  <c r="L12" i="9"/>
  <c r="K12" i="9"/>
  <c r="J12" i="9"/>
  <c r="I12" i="9"/>
  <c r="H12" i="9"/>
  <c r="G12" i="9"/>
  <c r="F12" i="9"/>
  <c r="E12" i="9"/>
  <c r="D12" i="9"/>
  <c r="C12" i="9"/>
  <c r="I85" i="9" l="1"/>
  <c r="D85" i="9"/>
  <c r="K85" i="9"/>
  <c r="G85" i="9"/>
  <c r="F85" i="9"/>
  <c r="H85" i="9"/>
  <c r="E85" i="9"/>
  <c r="J85" i="9"/>
  <c r="L85" i="9"/>
  <c r="J14" i="9"/>
  <c r="E14" i="9"/>
  <c r="K14" i="9"/>
  <c r="G14" i="9"/>
  <c r="F14" i="9"/>
  <c r="I14" i="9"/>
  <c r="L14" i="9"/>
  <c r="H14" i="9"/>
  <c r="C14" i="9"/>
  <c r="D14" i="9"/>
  <c r="F2" i="8" l="1"/>
  <c r="C2" i="9" l="1"/>
  <c r="B2" i="9" l="1"/>
  <c r="A105" i="9" l="1"/>
  <c r="A102" i="9" s="1"/>
  <c r="A57" i="9"/>
  <c r="A54" i="9" s="1"/>
  <c r="A1" i="10"/>
  <c r="A1" i="8"/>
  <c r="E37" i="10" a="1"/>
  <c r="F37" i="10" a="1"/>
  <c r="G37" i="10" a="1"/>
  <c r="H37" i="10" a="1"/>
  <c r="I37" i="10" a="1"/>
  <c r="J37" i="10" a="1"/>
  <c r="K37" i="10" a="1"/>
  <c r="L37" i="10" a="1"/>
  <c r="M37" i="10" a="1"/>
  <c r="N37" i="10" a="1"/>
  <c r="O37" i="10" a="1"/>
  <c r="E38" i="10" a="1"/>
  <c r="F38" i="10" a="1"/>
  <c r="G38" i="10" a="1"/>
  <c r="H38" i="10" a="1"/>
  <c r="I38" i="10" a="1"/>
  <c r="J38" i="10" a="1"/>
  <c r="K38" i="10" a="1"/>
  <c r="L38" i="10" a="1"/>
  <c r="M38" i="10" a="1"/>
  <c r="N38" i="10" a="1"/>
  <c r="O38" i="10" a="1"/>
  <c r="E39" i="10" a="1"/>
  <c r="F39" i="10" a="1"/>
  <c r="G39" i="10" a="1"/>
  <c r="H39" i="10" a="1"/>
  <c r="I39" i="10" a="1"/>
  <c r="J39" i="10" a="1"/>
  <c r="K39" i="10" a="1"/>
  <c r="L39" i="10" a="1"/>
  <c r="M39" i="10" a="1"/>
  <c r="N39" i="10" a="1"/>
  <c r="O39" i="10" a="1"/>
  <c r="E40" i="10" a="1"/>
  <c r="F40" i="10" a="1"/>
  <c r="G40" i="10" a="1"/>
  <c r="H40" i="10" a="1"/>
  <c r="I40" i="10" a="1"/>
  <c r="J40" i="10" a="1"/>
  <c r="K40" i="10" a="1"/>
  <c r="L40" i="10" a="1"/>
  <c r="M40" i="10" a="1"/>
  <c r="N40" i="10" a="1"/>
  <c r="O40" i="10" a="1"/>
  <c r="E41" i="10" a="1"/>
  <c r="F41" i="10" a="1"/>
  <c r="G41" i="10" a="1"/>
  <c r="H41" i="10" a="1"/>
  <c r="I41" i="10" a="1"/>
  <c r="J41" i="10" a="1"/>
  <c r="K41" i="10" a="1"/>
  <c r="L41" i="10" a="1"/>
  <c r="M41" i="10" a="1"/>
  <c r="N41" i="10" a="1"/>
  <c r="O41" i="10" a="1"/>
  <c r="E7" i="10" a="1"/>
  <c r="F7" i="10" a="1"/>
  <c r="G7" i="10" a="1"/>
  <c r="H7" i="10" a="1"/>
  <c r="I7" i="10" a="1"/>
  <c r="J7" i="10" a="1"/>
  <c r="K7" i="10" a="1"/>
  <c r="L7" i="10" a="1"/>
  <c r="M7" i="10" a="1"/>
  <c r="N7" i="10" a="1"/>
  <c r="O7" i="10" a="1"/>
  <c r="E11" i="10" a="1"/>
  <c r="F11" i="10" a="1"/>
  <c r="G11" i="10" a="1"/>
  <c r="H11" i="10" a="1"/>
  <c r="I11" i="10" a="1"/>
  <c r="J11" i="10" a="1"/>
  <c r="K11" i="10" a="1"/>
  <c r="L11" i="10" a="1"/>
  <c r="M11" i="10" a="1"/>
  <c r="N11" i="10" a="1"/>
  <c r="O11" i="10" a="1"/>
  <c r="E13" i="10" a="1"/>
  <c r="F13" i="10" a="1"/>
  <c r="G13" i="10" a="1"/>
  <c r="H13" i="10" a="1"/>
  <c r="I13" i="10" a="1"/>
  <c r="J13" i="10" a="1"/>
  <c r="K13" i="10" a="1"/>
  <c r="L13" i="10" a="1"/>
  <c r="M13" i="10" a="1"/>
  <c r="N13" i="10" a="1"/>
  <c r="O13" i="10" a="1"/>
  <c r="E15" i="10" a="1"/>
  <c r="F15" i="10" a="1"/>
  <c r="G15" i="10" a="1"/>
  <c r="H15" i="10" a="1"/>
  <c r="I15" i="10" a="1"/>
  <c r="J15" i="10" a="1"/>
  <c r="K15" i="10" a="1"/>
  <c r="L15" i="10" a="1"/>
  <c r="M15" i="10" a="1"/>
  <c r="N15" i="10" a="1"/>
  <c r="O15" i="10" a="1"/>
  <c r="E16" i="10" a="1"/>
  <c r="F16" i="10" a="1"/>
  <c r="G16" i="10" a="1"/>
  <c r="H16" i="10" a="1"/>
  <c r="I16" i="10" a="1"/>
  <c r="J16" i="10" a="1"/>
  <c r="K16" i="10" a="1"/>
  <c r="L16" i="10" a="1"/>
  <c r="M16" i="10" a="1"/>
  <c r="N16" i="10" a="1"/>
  <c r="O16" i="10" a="1"/>
  <c r="E19" i="10" a="1"/>
  <c r="F19" i="10" a="1"/>
  <c r="G19" i="10" a="1"/>
  <c r="H19" i="10" a="1"/>
  <c r="I19" i="10" a="1"/>
  <c r="J19" i="10" a="1"/>
  <c r="K19" i="10" a="1"/>
  <c r="L19" i="10" a="1"/>
  <c r="M19" i="10" a="1"/>
  <c r="N19" i="10" a="1"/>
  <c r="O19" i="10" a="1"/>
  <c r="E21" i="10" a="1"/>
  <c r="F21" i="10" a="1"/>
  <c r="G21" i="10" a="1"/>
  <c r="H21" i="10" a="1"/>
  <c r="I21" i="10" a="1"/>
  <c r="J21" i="10" a="1"/>
  <c r="K21" i="10" a="1"/>
  <c r="L21" i="10" a="1"/>
  <c r="M21" i="10" a="1"/>
  <c r="N21" i="10" a="1"/>
  <c r="O21" i="10" a="1"/>
  <c r="E22" i="10" a="1"/>
  <c r="F22" i="10" a="1"/>
  <c r="G22" i="10" a="1"/>
  <c r="H22" i="10" a="1"/>
  <c r="I22" i="10" a="1"/>
  <c r="J22" i="10" a="1"/>
  <c r="K22" i="10" a="1"/>
  <c r="L22" i="10" a="1"/>
  <c r="M22" i="10" a="1"/>
  <c r="N22" i="10" a="1"/>
  <c r="O22" i="10" a="1"/>
  <c r="E25" i="10" a="1"/>
  <c r="F25" i="10" a="1"/>
  <c r="G25" i="10" a="1"/>
  <c r="H25" i="10" a="1"/>
  <c r="I25" i="10" a="1"/>
  <c r="J25" i="10" a="1"/>
  <c r="K25" i="10" a="1"/>
  <c r="L25" i="10" a="1"/>
  <c r="M25" i="10" a="1"/>
  <c r="N25" i="10" a="1"/>
  <c r="O25" i="10" a="1"/>
  <c r="E28" i="10" a="1"/>
  <c r="F28" i="10" a="1"/>
  <c r="G28" i="10" a="1"/>
  <c r="H28" i="10" a="1"/>
  <c r="I28" i="10" a="1"/>
  <c r="J28" i="10" a="1"/>
  <c r="K28" i="10" a="1"/>
  <c r="L28" i="10" a="1"/>
  <c r="M28" i="10" a="1"/>
  <c r="N28" i="10" a="1"/>
  <c r="O28" i="10" a="1"/>
  <c r="E29" i="10" a="1"/>
  <c r="F29" i="10" a="1"/>
  <c r="G29" i="10" a="1"/>
  <c r="H29" i="10" a="1"/>
  <c r="I29" i="10" a="1"/>
  <c r="J29" i="10" a="1"/>
  <c r="K29" i="10" a="1"/>
  <c r="L29" i="10" a="1"/>
  <c r="M29" i="10" a="1"/>
  <c r="N29" i="10" a="1"/>
  <c r="O29" i="10" a="1"/>
  <c r="E31" i="10" a="1"/>
  <c r="F31" i="10" a="1"/>
  <c r="G31" i="10" a="1"/>
  <c r="H31" i="10" a="1"/>
  <c r="I31" i="10" a="1"/>
  <c r="J31" i="10" a="1"/>
  <c r="K31" i="10" a="1"/>
  <c r="L31" i="10" a="1"/>
  <c r="M31" i="10" a="1"/>
  <c r="N31" i="10" a="1"/>
  <c r="O31" i="10" a="1"/>
  <c r="E32" i="10" a="1"/>
  <c r="F32" i="10" a="1"/>
  <c r="G32" i="10" a="1"/>
  <c r="H32" i="10" a="1"/>
  <c r="I32" i="10" a="1"/>
  <c r="J32" i="10" a="1"/>
  <c r="K32" i="10" a="1"/>
  <c r="L32" i="10" a="1"/>
  <c r="M32" i="10" a="1"/>
  <c r="N32" i="10" a="1"/>
  <c r="O32" i="10" a="1"/>
  <c r="E35" i="10" a="1"/>
  <c r="F35" i="10" a="1"/>
  <c r="G35" i="10" a="1"/>
  <c r="H35" i="10" a="1"/>
  <c r="I35" i="10" a="1"/>
  <c r="J35" i="10" a="1"/>
  <c r="K35" i="10" a="1"/>
  <c r="L35" i="10" a="1"/>
  <c r="M35" i="10" a="1"/>
  <c r="N35" i="10" a="1"/>
  <c r="O35" i="10" a="1"/>
  <c r="E45" i="10" a="1"/>
  <c r="F45" i="10" a="1"/>
  <c r="G45" i="10" a="1"/>
  <c r="H45" i="10" a="1"/>
  <c r="I45" i="10" a="1"/>
  <c r="J45" i="10" a="1"/>
  <c r="K45" i="10" a="1"/>
  <c r="L45" i="10" a="1"/>
  <c r="M45" i="10" a="1"/>
  <c r="N45" i="10" a="1"/>
  <c r="O45" i="10" a="1"/>
  <c r="E50" i="10" a="1"/>
  <c r="F50" i="10" a="1"/>
  <c r="G50" i="10" a="1"/>
  <c r="H50" i="10" a="1"/>
  <c r="I50" i="10" a="1"/>
  <c r="J50" i="10" a="1"/>
  <c r="K50" i="10" a="1"/>
  <c r="L50" i="10" a="1"/>
  <c r="M50" i="10" a="1"/>
  <c r="N50" i="10" a="1"/>
  <c r="O50" i="10" a="1"/>
  <c r="E51" i="10" a="1"/>
  <c r="F51" i="10" a="1"/>
  <c r="G51" i="10" a="1"/>
  <c r="H51" i="10" a="1"/>
  <c r="I51" i="10" a="1"/>
  <c r="J51" i="10" a="1"/>
  <c r="K51" i="10" a="1"/>
  <c r="L51" i="10" a="1"/>
  <c r="M51" i="10" a="1"/>
  <c r="N51" i="10" a="1"/>
  <c r="O51" i="10" a="1"/>
  <c r="E56" i="10" a="1"/>
  <c r="F56" i="10" a="1"/>
  <c r="G56" i="10" a="1"/>
  <c r="H56" i="10" a="1"/>
  <c r="I56" i="10" a="1"/>
  <c r="J56" i="10" a="1"/>
  <c r="K56" i="10" a="1"/>
  <c r="L56" i="10" a="1"/>
  <c r="M56" i="10" a="1"/>
  <c r="N56" i="10" a="1"/>
  <c r="O56" i="10" a="1"/>
  <c r="E59" i="10" a="1"/>
  <c r="F59" i="10" a="1"/>
  <c r="G59" i="10" a="1"/>
  <c r="H59" i="10" a="1"/>
  <c r="I59" i="10" a="1"/>
  <c r="J59" i="10" a="1"/>
  <c r="K59" i="10" a="1"/>
  <c r="L59" i="10" a="1"/>
  <c r="M59" i="10" a="1"/>
  <c r="N59" i="10" a="1"/>
  <c r="O59" i="10" a="1"/>
  <c r="E68" i="10" a="1"/>
  <c r="F68" i="10" a="1"/>
  <c r="G68" i="10" a="1"/>
  <c r="H68" i="10" a="1"/>
  <c r="I68" i="10" a="1"/>
  <c r="J68" i="10" a="1"/>
  <c r="K68" i="10" a="1"/>
  <c r="L68" i="10" a="1"/>
  <c r="M68" i="10" a="1"/>
  <c r="N68" i="10" a="1"/>
  <c r="O68" i="10" a="1"/>
  <c r="E75" i="10" a="1"/>
  <c r="F75" i="10" a="1"/>
  <c r="G75" i="10" a="1"/>
  <c r="H75" i="10" a="1"/>
  <c r="I75" i="10" a="1"/>
  <c r="J75" i="10" a="1"/>
  <c r="K75" i="10" a="1"/>
  <c r="L75" i="10" a="1"/>
  <c r="M75" i="10" a="1"/>
  <c r="N75" i="10" a="1"/>
  <c r="O75" i="10" a="1"/>
  <c r="E80" i="10" a="1"/>
  <c r="F80" i="10" a="1"/>
  <c r="G80" i="10" a="1"/>
  <c r="H80" i="10" a="1"/>
  <c r="I80" i="10" a="1"/>
  <c r="J80" i="10" a="1"/>
  <c r="K80" i="10" a="1"/>
  <c r="L80" i="10" a="1"/>
  <c r="M80" i="10" a="1"/>
  <c r="N80" i="10" a="1"/>
  <c r="O80" i="10" a="1"/>
  <c r="E7" i="8" a="1"/>
  <c r="F7" i="8" a="1"/>
  <c r="G7" i="8" a="1"/>
  <c r="H7" i="8" a="1"/>
  <c r="I7" i="8" a="1"/>
  <c r="J7" i="8" a="1"/>
  <c r="K7" i="8" a="1"/>
  <c r="L7" i="8" a="1"/>
  <c r="M7" i="8" a="1"/>
  <c r="N7" i="8" a="1"/>
  <c r="O7" i="8" a="1"/>
  <c r="O7" i="8" l="1"/>
  <c r="N7" i="8"/>
  <c r="M7" i="8"/>
  <c r="L7" i="8"/>
  <c r="K7" i="8"/>
  <c r="J7" i="8"/>
  <c r="I7" i="8"/>
  <c r="H7" i="8"/>
  <c r="G7" i="8"/>
  <c r="F7" i="8"/>
  <c r="E7" i="8"/>
  <c r="O80" i="10"/>
  <c r="N80" i="10"/>
  <c r="M80" i="10"/>
  <c r="L80" i="10"/>
  <c r="K80" i="10"/>
  <c r="J80" i="10"/>
  <c r="I80" i="10"/>
  <c r="H80" i="10"/>
  <c r="G80" i="10"/>
  <c r="F80" i="10"/>
  <c r="E80" i="10"/>
  <c r="O75" i="10"/>
  <c r="N75" i="10"/>
  <c r="M75" i="10"/>
  <c r="L75" i="10"/>
  <c r="K75" i="10"/>
  <c r="J75" i="10"/>
  <c r="I75" i="10"/>
  <c r="H75" i="10"/>
  <c r="G75" i="10"/>
  <c r="F75" i="10"/>
  <c r="E75" i="10"/>
  <c r="O68" i="10"/>
  <c r="N68" i="10"/>
  <c r="M68" i="10"/>
  <c r="L68" i="10"/>
  <c r="K68" i="10"/>
  <c r="J68" i="10"/>
  <c r="I68" i="10"/>
  <c r="H68" i="10"/>
  <c r="G68" i="10"/>
  <c r="F68" i="10"/>
  <c r="E68" i="10"/>
  <c r="O59" i="10"/>
  <c r="N59" i="10"/>
  <c r="M59" i="10"/>
  <c r="L59" i="10"/>
  <c r="K59" i="10"/>
  <c r="J59" i="10"/>
  <c r="I59" i="10"/>
  <c r="H59" i="10"/>
  <c r="G59" i="10"/>
  <c r="F59" i="10"/>
  <c r="E59" i="10"/>
  <c r="O56" i="10"/>
  <c r="N56" i="10"/>
  <c r="M56" i="10"/>
  <c r="L56" i="10"/>
  <c r="K56" i="10"/>
  <c r="J56" i="10"/>
  <c r="I56" i="10"/>
  <c r="H56" i="10"/>
  <c r="G56" i="10"/>
  <c r="F56" i="10"/>
  <c r="E56" i="10"/>
  <c r="O51" i="10"/>
  <c r="N51" i="10"/>
  <c r="M51" i="10"/>
  <c r="L51" i="10"/>
  <c r="K51" i="10"/>
  <c r="J51" i="10"/>
  <c r="I51" i="10"/>
  <c r="H51" i="10"/>
  <c r="G51" i="10"/>
  <c r="F51" i="10"/>
  <c r="E51" i="10"/>
  <c r="O50" i="10"/>
  <c r="N50" i="10"/>
  <c r="M50" i="10"/>
  <c r="L50" i="10"/>
  <c r="K50" i="10"/>
  <c r="J50" i="10"/>
  <c r="I50" i="10"/>
  <c r="H50" i="10"/>
  <c r="G50" i="10"/>
  <c r="F50" i="10"/>
  <c r="E50" i="10"/>
  <c r="O45" i="10"/>
  <c r="N45" i="10"/>
  <c r="M45" i="10"/>
  <c r="L45" i="10"/>
  <c r="K45" i="10"/>
  <c r="J45" i="10"/>
  <c r="I45" i="10"/>
  <c r="H45" i="10"/>
  <c r="G45" i="10"/>
  <c r="F45" i="10"/>
  <c r="E45" i="10"/>
  <c r="O35" i="10"/>
  <c r="N35" i="10"/>
  <c r="M35" i="10"/>
  <c r="L35" i="10"/>
  <c r="K35" i="10"/>
  <c r="J35" i="10"/>
  <c r="I35" i="10"/>
  <c r="H35" i="10"/>
  <c r="G35" i="10"/>
  <c r="F35" i="10"/>
  <c r="E35" i="10"/>
  <c r="O32" i="10"/>
  <c r="N32" i="10"/>
  <c r="M32" i="10"/>
  <c r="L32" i="10"/>
  <c r="K32" i="10"/>
  <c r="J32" i="10"/>
  <c r="I32" i="10"/>
  <c r="H32" i="10"/>
  <c r="G32" i="10"/>
  <c r="F32" i="10"/>
  <c r="E32" i="10"/>
  <c r="O31" i="10"/>
  <c r="N31" i="10"/>
  <c r="M31" i="10"/>
  <c r="L31" i="10"/>
  <c r="K31" i="10"/>
  <c r="J31" i="10"/>
  <c r="I31" i="10"/>
  <c r="H31" i="10"/>
  <c r="G31" i="10"/>
  <c r="F31" i="10"/>
  <c r="E31" i="10"/>
  <c r="O29" i="10"/>
  <c r="N29" i="10"/>
  <c r="M29" i="10"/>
  <c r="L29" i="10"/>
  <c r="K29" i="10"/>
  <c r="J29" i="10"/>
  <c r="I29" i="10"/>
  <c r="H29" i="10"/>
  <c r="G29" i="10"/>
  <c r="F29" i="10"/>
  <c r="E29" i="10"/>
  <c r="O28" i="10"/>
  <c r="N28" i="10"/>
  <c r="M28" i="10"/>
  <c r="L28" i="10"/>
  <c r="K28" i="10"/>
  <c r="J28" i="10"/>
  <c r="I28" i="10"/>
  <c r="H28" i="10"/>
  <c r="G28" i="10"/>
  <c r="F28" i="10"/>
  <c r="E28" i="10"/>
  <c r="O25" i="10"/>
  <c r="N25" i="10"/>
  <c r="M25" i="10"/>
  <c r="L25" i="10"/>
  <c r="K25" i="10"/>
  <c r="J25" i="10"/>
  <c r="I25" i="10"/>
  <c r="H25" i="10"/>
  <c r="G25" i="10"/>
  <c r="F25" i="10"/>
  <c r="E25" i="10"/>
  <c r="O22" i="10"/>
  <c r="N22" i="10"/>
  <c r="M22" i="10"/>
  <c r="L22" i="10"/>
  <c r="K22" i="10"/>
  <c r="J22" i="10"/>
  <c r="I22" i="10"/>
  <c r="H22" i="10"/>
  <c r="G22" i="10"/>
  <c r="F22" i="10"/>
  <c r="E22" i="10"/>
  <c r="O21" i="10"/>
  <c r="N21" i="10"/>
  <c r="M21" i="10"/>
  <c r="L21" i="10"/>
  <c r="K21" i="10"/>
  <c r="J21" i="10"/>
  <c r="I21" i="10"/>
  <c r="H21" i="10"/>
  <c r="G21" i="10"/>
  <c r="F21" i="10"/>
  <c r="E21" i="10"/>
  <c r="O19" i="10"/>
  <c r="N19" i="10"/>
  <c r="M19" i="10"/>
  <c r="L19" i="10"/>
  <c r="K19" i="10"/>
  <c r="J19" i="10"/>
  <c r="I19" i="10"/>
  <c r="H19" i="10"/>
  <c r="G19" i="10"/>
  <c r="F19" i="10"/>
  <c r="E19" i="10"/>
  <c r="O16" i="10"/>
  <c r="N16" i="10"/>
  <c r="M16" i="10"/>
  <c r="L16" i="10"/>
  <c r="K16" i="10"/>
  <c r="J16" i="10"/>
  <c r="I16" i="10"/>
  <c r="H16" i="10"/>
  <c r="G16" i="10"/>
  <c r="F16" i="10"/>
  <c r="E16" i="10"/>
  <c r="O15" i="10"/>
  <c r="N15" i="10"/>
  <c r="M15" i="10"/>
  <c r="L15" i="10"/>
  <c r="K15" i="10"/>
  <c r="J15" i="10"/>
  <c r="I15" i="10"/>
  <c r="H15" i="10"/>
  <c r="G15" i="10"/>
  <c r="F15" i="10"/>
  <c r="E15" i="10"/>
  <c r="O13" i="10"/>
  <c r="N13" i="10"/>
  <c r="M13" i="10"/>
  <c r="L13" i="10"/>
  <c r="K13" i="10"/>
  <c r="J13" i="10"/>
  <c r="I13" i="10"/>
  <c r="H13" i="10"/>
  <c r="G13" i="10"/>
  <c r="F13" i="10"/>
  <c r="E13" i="10"/>
  <c r="O11" i="10"/>
  <c r="N11" i="10"/>
  <c r="M11" i="10"/>
  <c r="L11" i="10"/>
  <c r="K11" i="10"/>
  <c r="J11" i="10"/>
  <c r="I11" i="10"/>
  <c r="H11" i="10"/>
  <c r="G11" i="10"/>
  <c r="F11" i="10"/>
  <c r="E11" i="10"/>
  <c r="O7" i="10"/>
  <c r="N7" i="10"/>
  <c r="M7" i="10"/>
  <c r="L7" i="10"/>
  <c r="K7" i="10"/>
  <c r="J7" i="10"/>
  <c r="I7" i="10"/>
  <c r="H7" i="10"/>
  <c r="G7" i="10"/>
  <c r="F7" i="10"/>
  <c r="E7" i="10"/>
  <c r="O41" i="10"/>
  <c r="N41" i="10"/>
  <c r="M41" i="10"/>
  <c r="L41" i="10"/>
  <c r="K41" i="10"/>
  <c r="J41" i="10"/>
  <c r="I41" i="10"/>
  <c r="H41" i="10"/>
  <c r="G41" i="10"/>
  <c r="F41" i="10"/>
  <c r="E41" i="10"/>
  <c r="O40" i="10"/>
  <c r="N40" i="10"/>
  <c r="M40" i="10"/>
  <c r="L40" i="10"/>
  <c r="K40" i="10"/>
  <c r="J40" i="10"/>
  <c r="I40" i="10"/>
  <c r="H40" i="10"/>
  <c r="G40" i="10"/>
  <c r="F40" i="10"/>
  <c r="E40" i="10"/>
  <c r="O39" i="10"/>
  <c r="N39" i="10"/>
  <c r="M39" i="10"/>
  <c r="L39" i="10"/>
  <c r="K39" i="10"/>
  <c r="J39" i="10"/>
  <c r="I39" i="10"/>
  <c r="H39" i="10"/>
  <c r="G39" i="10"/>
  <c r="F39" i="10"/>
  <c r="E39" i="10"/>
  <c r="O38" i="10"/>
  <c r="N38" i="10"/>
  <c r="M38" i="10"/>
  <c r="L38" i="10"/>
  <c r="K38" i="10"/>
  <c r="J38" i="10"/>
  <c r="I38" i="10"/>
  <c r="H38" i="10"/>
  <c r="G38" i="10"/>
  <c r="F38" i="10"/>
  <c r="E38" i="10"/>
  <c r="O37" i="10"/>
  <c r="N37" i="10"/>
  <c r="M37" i="10"/>
  <c r="L37" i="10"/>
  <c r="K37" i="10"/>
  <c r="J37" i="10"/>
  <c r="I37" i="10"/>
  <c r="H37" i="10"/>
  <c r="G37" i="10"/>
  <c r="F37" i="10"/>
  <c r="E37" i="10"/>
  <c r="G2" i="10"/>
  <c r="F2" i="10"/>
  <c r="E2" i="10"/>
  <c r="A4" i="8"/>
  <c r="A4" i="10"/>
  <c r="J123" i="23" l="1"/>
  <c r="J123" i="24"/>
  <c r="D121" i="23"/>
  <c r="D121" i="24"/>
  <c r="I107" i="23"/>
  <c r="I107" i="24"/>
  <c r="B128" i="23"/>
  <c r="B128" i="24"/>
  <c r="F114" i="23"/>
  <c r="F114" i="24"/>
  <c r="D128" i="23"/>
  <c r="D128" i="24"/>
  <c r="E128" i="23"/>
  <c r="E128" i="24"/>
  <c r="E51" i="24"/>
  <c r="E57" i="24"/>
  <c r="K128" i="23"/>
  <c r="K128" i="24"/>
  <c r="J121" i="23"/>
  <c r="J121" i="24"/>
  <c r="D114" i="23"/>
  <c r="D114" i="24"/>
  <c r="B57" i="24"/>
  <c r="B51" i="24"/>
  <c r="H128" i="23"/>
  <c r="H128" i="24"/>
  <c r="C173" i="23"/>
  <c r="C173" i="24"/>
  <c r="L114" i="23"/>
  <c r="L114" i="24"/>
  <c r="D51" i="24"/>
  <c r="D57" i="24"/>
  <c r="J128" i="23"/>
  <c r="J128" i="24"/>
  <c r="E107" i="23"/>
  <c r="E107" i="24"/>
  <c r="C137" i="23"/>
  <c r="C137" i="24"/>
  <c r="G121" i="23"/>
  <c r="G121" i="24"/>
  <c r="J51" i="24"/>
  <c r="J57" i="24"/>
  <c r="E137" i="23"/>
  <c r="E137" i="24"/>
  <c r="I121" i="23"/>
  <c r="I121" i="24"/>
  <c r="H137" i="23"/>
  <c r="H137" i="24"/>
  <c r="C208" i="23"/>
  <c r="C208" i="24"/>
  <c r="B232" i="23"/>
  <c r="B232" i="24"/>
  <c r="L173" i="23"/>
  <c r="L173" i="24"/>
  <c r="H51" i="24"/>
  <c r="H57" i="24"/>
  <c r="L137" i="23"/>
  <c r="L137" i="24"/>
  <c r="G208" i="23"/>
  <c r="G208" i="24"/>
  <c r="K123" i="23"/>
  <c r="K123" i="24"/>
  <c r="E121" i="23"/>
  <c r="E122" i="23" s="1"/>
  <c r="E121" i="24"/>
  <c r="I137" i="23"/>
  <c r="I137" i="24"/>
  <c r="D208" i="23"/>
  <c r="D208" i="24"/>
  <c r="B123" i="23"/>
  <c r="B123" i="24"/>
  <c r="K137" i="23"/>
  <c r="K137" i="24"/>
  <c r="F208" i="23"/>
  <c r="F208" i="24"/>
  <c r="D123" i="23"/>
  <c r="D124" i="23" s="1"/>
  <c r="D123" i="24"/>
  <c r="D124" i="24" s="1"/>
  <c r="C114" i="23"/>
  <c r="C114" i="24"/>
  <c r="I208" i="23"/>
  <c r="I208" i="24"/>
  <c r="L121" i="23"/>
  <c r="L121" i="24"/>
  <c r="J114" i="23"/>
  <c r="J114" i="24"/>
  <c r="F128" i="23"/>
  <c r="F129" i="23" s="1"/>
  <c r="F128" i="24"/>
  <c r="L162" i="23"/>
  <c r="L162" i="24"/>
  <c r="K121" i="23"/>
  <c r="K122" i="23" s="1"/>
  <c r="K121" i="24"/>
  <c r="B246" i="23"/>
  <c r="B246" i="24"/>
  <c r="J208" i="23"/>
  <c r="J208" i="24"/>
  <c r="H123" i="23"/>
  <c r="H123" i="24"/>
  <c r="L208" i="23"/>
  <c r="L208" i="24"/>
  <c r="H107" i="23"/>
  <c r="H107" i="24"/>
  <c r="F121" i="23"/>
  <c r="F121" i="24"/>
  <c r="K51" i="24"/>
  <c r="K57" i="24"/>
  <c r="F137" i="23"/>
  <c r="F137" i="24"/>
  <c r="E123" i="23"/>
  <c r="E123" i="24"/>
  <c r="G107" i="23"/>
  <c r="G107" i="24"/>
  <c r="F51" i="24"/>
  <c r="F57" i="24"/>
  <c r="L128" i="23"/>
  <c r="L129" i="23" s="1"/>
  <c r="L128" i="24"/>
  <c r="F123" i="23"/>
  <c r="F123" i="24"/>
  <c r="D107" i="23"/>
  <c r="D107" i="24"/>
  <c r="C128" i="23"/>
  <c r="C128" i="24"/>
  <c r="F107" i="23"/>
  <c r="F107" i="24"/>
  <c r="L57" i="24"/>
  <c r="L51" i="24"/>
  <c r="G137" i="23"/>
  <c r="G137" i="24"/>
  <c r="B208" i="23"/>
  <c r="B208" i="24"/>
  <c r="L123" i="23"/>
  <c r="L123" i="24"/>
  <c r="H208" i="23"/>
  <c r="H208" i="24"/>
  <c r="G128" i="23"/>
  <c r="G129" i="23" s="1"/>
  <c r="G128" i="24"/>
  <c r="B173" i="23"/>
  <c r="B173" i="24"/>
  <c r="E114" i="23"/>
  <c r="E114" i="24"/>
  <c r="I51" i="24"/>
  <c r="I57" i="24"/>
  <c r="D137" i="23"/>
  <c r="D137" i="24"/>
  <c r="D138" i="24" s="1"/>
  <c r="G114" i="23"/>
  <c r="G114" i="24"/>
  <c r="J107" i="23"/>
  <c r="J107" i="24"/>
  <c r="C51" i="24"/>
  <c r="C57" i="24"/>
  <c r="I128" i="23"/>
  <c r="I128" i="24"/>
  <c r="L107" i="23"/>
  <c r="L107" i="24"/>
  <c r="B219" i="23"/>
  <c r="B219" i="24"/>
  <c r="H114" i="23"/>
  <c r="H114" i="24"/>
  <c r="C121" i="23"/>
  <c r="C121" i="24"/>
  <c r="G51" i="24"/>
  <c r="G57" i="24"/>
  <c r="B137" i="23"/>
  <c r="B137" i="24"/>
  <c r="K114" i="23"/>
  <c r="K114" i="24"/>
  <c r="J137" i="23"/>
  <c r="J137" i="24"/>
  <c r="E208" i="23"/>
  <c r="E208" i="24"/>
  <c r="B121" i="23"/>
  <c r="B121" i="24"/>
  <c r="K208" i="23"/>
  <c r="K208" i="24"/>
  <c r="H121" i="23"/>
  <c r="H121" i="24"/>
  <c r="C123" i="23"/>
  <c r="C123" i="24"/>
  <c r="I114" i="23"/>
  <c r="I114" i="24"/>
  <c r="G123" i="23"/>
  <c r="G123" i="24"/>
  <c r="B162" i="23"/>
  <c r="B162" i="24"/>
  <c r="K107" i="23"/>
  <c r="K107" i="24"/>
  <c r="I123" i="23"/>
  <c r="I123" i="24"/>
  <c r="E51" i="23"/>
  <c r="E57" i="23"/>
  <c r="B51" i="9"/>
  <c r="B51" i="23"/>
  <c r="B57" i="23"/>
  <c r="H129" i="23"/>
  <c r="D51" i="23"/>
  <c r="D57" i="23"/>
  <c r="J57" i="23"/>
  <c r="J51" i="23"/>
  <c r="F57" i="23"/>
  <c r="F51" i="23"/>
  <c r="L51" i="23"/>
  <c r="L57" i="23"/>
  <c r="C51" i="23"/>
  <c r="C57" i="23"/>
  <c r="K51" i="23"/>
  <c r="K57" i="23"/>
  <c r="I51" i="23"/>
  <c r="I57" i="23"/>
  <c r="G57" i="23"/>
  <c r="G51" i="23"/>
  <c r="H57" i="23"/>
  <c r="H51" i="23"/>
  <c r="K51" i="9"/>
  <c r="E51" i="9"/>
  <c r="C51" i="9"/>
  <c r="J51" i="9"/>
  <c r="H51" i="9"/>
  <c r="G51" i="9"/>
  <c r="F51" i="9"/>
  <c r="D51" i="9"/>
  <c r="L51" i="9"/>
  <c r="I51" i="9"/>
  <c r="E68" i="8" a="1"/>
  <c r="E52" i="8" a="1"/>
  <c r="E35" i="8" a="1"/>
  <c r="E18" i="8" a="1"/>
  <c r="F78" i="8" a="1"/>
  <c r="F60" i="8" a="1"/>
  <c r="F42" i="8" a="1"/>
  <c r="F28" i="8" a="1"/>
  <c r="F11" i="8" a="1"/>
  <c r="G75" i="8" a="1"/>
  <c r="G59" i="8" a="1"/>
  <c r="G41" i="8" a="1"/>
  <c r="G25" i="8" a="1"/>
  <c r="H80" i="8" a="1"/>
  <c r="H63" i="8" a="1"/>
  <c r="H45" i="8" a="1"/>
  <c r="H31" i="8" a="1"/>
  <c r="E67" i="8" a="1"/>
  <c r="E51" i="8" a="1"/>
  <c r="E34" i="8" a="1"/>
  <c r="E17" i="8" a="1"/>
  <c r="F75" i="8" a="1"/>
  <c r="F59" i="8" a="1"/>
  <c r="F41" i="8" a="1"/>
  <c r="F25" i="8" a="1"/>
  <c r="G74" i="8" a="1"/>
  <c r="G56" i="8" a="1"/>
  <c r="G40" i="8" a="1"/>
  <c r="G24" i="8" a="1"/>
  <c r="H79" i="8" a="1"/>
  <c r="H61" i="8" a="1"/>
  <c r="H44" i="8" a="1"/>
  <c r="H29" i="8" a="1"/>
  <c r="H12" i="8" a="1"/>
  <c r="I67" i="8" a="1"/>
  <c r="I51" i="8" a="1"/>
  <c r="I34" i="8" a="1"/>
  <c r="I17" i="8" a="1"/>
  <c r="J78" i="8" a="1"/>
  <c r="J60" i="8" a="1"/>
  <c r="J42" i="8" a="1"/>
  <c r="J28" i="8" a="1"/>
  <c r="J11" i="8" a="1"/>
  <c r="K74" i="8" a="1"/>
  <c r="K56" i="8" a="1"/>
  <c r="K40" i="8" a="1"/>
  <c r="K24" i="8" a="1"/>
  <c r="L71" i="8" a="1"/>
  <c r="L53" i="8" a="1"/>
  <c r="L37" i="8" a="1"/>
  <c r="L19" i="8" a="1"/>
  <c r="M81" i="8" a="1"/>
  <c r="M64" i="8" a="1"/>
  <c r="M46" i="8" a="1"/>
  <c r="M32" i="8" a="1"/>
  <c r="M15" i="8" a="1"/>
  <c r="N71" i="8" a="1"/>
  <c r="N53" i="8" a="1"/>
  <c r="N37" i="8" a="1"/>
  <c r="N19" i="8" a="1"/>
  <c r="O67" i="8" a="1"/>
  <c r="O51" i="8" a="1"/>
  <c r="O34" i="8" a="1"/>
  <c r="O17" i="8" a="1"/>
  <c r="E82" i="8" a="1"/>
  <c r="E66" i="8" a="1"/>
  <c r="E50" i="8" a="1"/>
  <c r="E33" i="8" a="1"/>
  <c r="E16" i="8" a="1"/>
  <c r="F74" i="8" a="1"/>
  <c r="F56" i="8" a="1"/>
  <c r="F40" i="8" a="1"/>
  <c r="F24" i="8" a="1"/>
  <c r="G73" i="8" a="1"/>
  <c r="G55" i="8" a="1"/>
  <c r="G39" i="8" a="1"/>
  <c r="G22" i="8" a="1"/>
  <c r="H78" i="8" a="1"/>
  <c r="H60" i="8" a="1"/>
  <c r="H42" i="8" a="1"/>
  <c r="H28" i="8" a="1"/>
  <c r="H11" i="8" a="1"/>
  <c r="I82" i="8" a="1"/>
  <c r="I66" i="8" a="1"/>
  <c r="I50" i="8" a="1"/>
  <c r="I33" i="8" a="1"/>
  <c r="I16" i="8" a="1"/>
  <c r="J75" i="8" a="1"/>
  <c r="J59" i="8" a="1"/>
  <c r="J41" i="8" a="1"/>
  <c r="J25" i="8" a="1"/>
  <c r="K73" i="8" a="1"/>
  <c r="K55" i="8" a="1"/>
  <c r="K39" i="8" a="1"/>
  <c r="K22" i="8" a="1"/>
  <c r="L68" i="8" a="1"/>
  <c r="L52" i="8" a="1"/>
  <c r="L35" i="8" a="1"/>
  <c r="L18" i="8" a="1"/>
  <c r="M80" i="8" a="1"/>
  <c r="M63" i="8" a="1"/>
  <c r="M45" i="8" a="1"/>
  <c r="M31" i="8" a="1"/>
  <c r="M13" i="8" a="1"/>
  <c r="N68" i="8" a="1"/>
  <c r="N52" i="8" a="1"/>
  <c r="N35" i="8" a="1"/>
  <c r="N18" i="8" a="1"/>
  <c r="O82" i="8" a="1"/>
  <c r="O66" i="8" a="1"/>
  <c r="O50" i="8" a="1"/>
  <c r="O33" i="8" a="1"/>
  <c r="O16" i="8" a="1"/>
  <c r="K59" i="8" a="1"/>
  <c r="M82" i="8" a="1"/>
  <c r="M33" i="8" a="1"/>
  <c r="E81" i="8" a="1"/>
  <c r="E64" i="8" a="1"/>
  <c r="E46" i="8" a="1"/>
  <c r="E32" i="8" a="1"/>
  <c r="E15" i="8" a="1"/>
  <c r="F73" i="8" a="1"/>
  <c r="F55" i="8" a="1"/>
  <c r="F39" i="8" a="1"/>
  <c r="F22" i="8" a="1"/>
  <c r="G72" i="8" a="1"/>
  <c r="G54" i="8" a="1"/>
  <c r="G38" i="8" a="1"/>
  <c r="G21" i="8" a="1"/>
  <c r="H75" i="8" a="1"/>
  <c r="H59" i="8" a="1"/>
  <c r="H41" i="8" a="1"/>
  <c r="H25" i="8" a="1"/>
  <c r="I81" i="8" a="1"/>
  <c r="I64" i="8" a="1"/>
  <c r="I46" i="8" a="1"/>
  <c r="I32" i="8" a="1"/>
  <c r="I15" i="8" a="1"/>
  <c r="J74" i="8" a="1"/>
  <c r="J56" i="8" a="1"/>
  <c r="J40" i="8" a="1"/>
  <c r="J24" i="8" a="1"/>
  <c r="K72" i="8" a="1"/>
  <c r="K54" i="8" a="1"/>
  <c r="K38" i="8" a="1"/>
  <c r="K21" i="8" a="1"/>
  <c r="L67" i="8" a="1"/>
  <c r="L51" i="8" a="1"/>
  <c r="L34" i="8" a="1"/>
  <c r="L17" i="8" a="1"/>
  <c r="M79" i="8" a="1"/>
  <c r="M61" i="8" a="1"/>
  <c r="M44" i="8" a="1"/>
  <c r="M29" i="8" a="1"/>
  <c r="M12" i="8" a="1"/>
  <c r="N67" i="8" a="1"/>
  <c r="N51" i="8" a="1"/>
  <c r="N34" i="8" a="1"/>
  <c r="N17" i="8" a="1"/>
  <c r="O81" i="8" a="1"/>
  <c r="O64" i="8" a="1"/>
  <c r="O46" i="8" a="1"/>
  <c r="O32" i="8" a="1"/>
  <c r="O15" i="8" a="1"/>
  <c r="O35" i="8" a="1"/>
  <c r="E80" i="8" a="1"/>
  <c r="E63" i="8" a="1"/>
  <c r="E45" i="8" a="1"/>
  <c r="E31" i="8" a="1"/>
  <c r="E13" i="8" a="1"/>
  <c r="F72" i="8" a="1"/>
  <c r="F54" i="8" a="1"/>
  <c r="F38" i="8" a="1"/>
  <c r="F21" i="8" a="1"/>
  <c r="G71" i="8" a="1"/>
  <c r="G53" i="8" a="1"/>
  <c r="G37" i="8" a="1"/>
  <c r="G19" i="8" a="1"/>
  <c r="H74" i="8" a="1"/>
  <c r="H56" i="8" a="1"/>
  <c r="H40" i="8" a="1"/>
  <c r="H24" i="8" a="1"/>
  <c r="I80" i="8" a="1"/>
  <c r="I63" i="8" a="1"/>
  <c r="I45" i="8" a="1"/>
  <c r="I31" i="8" a="1"/>
  <c r="I13" i="8" a="1"/>
  <c r="J73" i="8" a="1"/>
  <c r="J55" i="8" a="1"/>
  <c r="J39" i="8" a="1"/>
  <c r="J22" i="8" a="1"/>
  <c r="K71" i="8" a="1"/>
  <c r="K53" i="8" a="1"/>
  <c r="K37" i="8" a="1"/>
  <c r="K19" i="8" a="1"/>
  <c r="L82" i="8" a="1"/>
  <c r="L66" i="8" a="1"/>
  <c r="L50" i="8" a="1"/>
  <c r="L33" i="8" a="1"/>
  <c r="L16" i="8" a="1"/>
  <c r="M78" i="8" a="1"/>
  <c r="M60" i="8" a="1"/>
  <c r="M42" i="8" a="1"/>
  <c r="M28" i="8" a="1"/>
  <c r="M11" i="8" a="1"/>
  <c r="N82" i="8" a="1"/>
  <c r="N66" i="8" a="1"/>
  <c r="N50" i="8" a="1"/>
  <c r="N33" i="8" a="1"/>
  <c r="N16" i="8" a="1"/>
  <c r="O80" i="8" a="1"/>
  <c r="O63" i="8" a="1"/>
  <c r="O45" i="8" a="1"/>
  <c r="O31" i="8" a="1"/>
  <c r="O13" i="8" a="1"/>
  <c r="I68" i="8" a="1"/>
  <c r="J12" i="8" a="1"/>
  <c r="K41" i="8" a="1"/>
  <c r="M66" i="8" a="1"/>
  <c r="O68" i="8" a="1"/>
  <c r="E79" i="8" a="1"/>
  <c r="E61" i="8" a="1"/>
  <c r="E44" i="8" a="1"/>
  <c r="E29" i="8" a="1"/>
  <c r="E12" i="8" a="1"/>
  <c r="F71" i="8" a="1"/>
  <c r="F53" i="8" a="1"/>
  <c r="F37" i="8" a="1"/>
  <c r="F19" i="8" a="1"/>
  <c r="G68" i="8" a="1"/>
  <c r="G52" i="8" a="1"/>
  <c r="G35" i="8" a="1"/>
  <c r="G18" i="8" a="1"/>
  <c r="H73" i="8" a="1"/>
  <c r="H55" i="8" a="1"/>
  <c r="H39" i="8" a="1"/>
  <c r="H22" i="8" a="1"/>
  <c r="I79" i="8" a="1"/>
  <c r="I61" i="8" a="1"/>
  <c r="I44" i="8" a="1"/>
  <c r="I29" i="8" a="1"/>
  <c r="I12" i="8" a="1"/>
  <c r="J72" i="8" a="1"/>
  <c r="J54" i="8" a="1"/>
  <c r="J38" i="8" a="1"/>
  <c r="J21" i="8" a="1"/>
  <c r="K68" i="8" a="1"/>
  <c r="K52" i="8" a="1"/>
  <c r="K35" i="8" a="1"/>
  <c r="K18" i="8" a="1"/>
  <c r="L81" i="8" a="1"/>
  <c r="L64" i="8" a="1"/>
  <c r="L46" i="8" a="1"/>
  <c r="L32" i="8" a="1"/>
  <c r="L15" i="8" a="1"/>
  <c r="M75" i="8" a="1"/>
  <c r="M59" i="8" a="1"/>
  <c r="M41" i="8" a="1"/>
  <c r="M25" i="8" a="1"/>
  <c r="N81" i="8" a="1"/>
  <c r="N64" i="8" a="1"/>
  <c r="N46" i="8" a="1"/>
  <c r="N32" i="8" a="1"/>
  <c r="N15" i="8" a="1"/>
  <c r="O79" i="8" a="1"/>
  <c r="O61" i="8" a="1"/>
  <c r="O44" i="8" a="1"/>
  <c r="O29" i="8" a="1"/>
  <c r="O12" i="8" a="1"/>
  <c r="K51" i="8" a="1"/>
  <c r="K17" i="8" a="1"/>
  <c r="L80" i="8" a="1"/>
  <c r="L45" i="8" a="1"/>
  <c r="L31" i="8" a="1"/>
  <c r="M74" i="8" a="1"/>
  <c r="M24" i="8" a="1"/>
  <c r="N63" i="8" a="1"/>
  <c r="N31" i="8" a="1"/>
  <c r="N13" i="8" a="1"/>
  <c r="O60" i="8" a="1"/>
  <c r="O28" i="8" a="1"/>
  <c r="M17" i="8" a="1"/>
  <c r="N39" i="8" a="1"/>
  <c r="J79" i="8" a="1"/>
  <c r="L54" i="8" a="1"/>
  <c r="O18" i="8" a="1"/>
  <c r="E78" i="8" a="1"/>
  <c r="E60" i="8" a="1"/>
  <c r="E42" i="8" a="1"/>
  <c r="E28" i="8" a="1"/>
  <c r="E11" i="8" a="1"/>
  <c r="F68" i="8" a="1"/>
  <c r="F52" i="8" a="1"/>
  <c r="F35" i="8" a="1"/>
  <c r="F18" i="8" a="1"/>
  <c r="G67" i="8" a="1"/>
  <c r="G51" i="8" a="1"/>
  <c r="G34" i="8" a="1"/>
  <c r="G17" i="8" a="1"/>
  <c r="H72" i="8" a="1"/>
  <c r="H54" i="8" a="1"/>
  <c r="H38" i="8" a="1"/>
  <c r="H21" i="8" a="1"/>
  <c r="I78" i="8" a="1"/>
  <c r="I60" i="8" a="1"/>
  <c r="I42" i="8" a="1"/>
  <c r="I28" i="8" a="1"/>
  <c r="I11" i="8" a="1"/>
  <c r="J71" i="8" a="1"/>
  <c r="J53" i="8" a="1"/>
  <c r="J37" i="8" a="1"/>
  <c r="J19" i="8" a="1"/>
  <c r="K67" i="8" a="1"/>
  <c r="K34" i="8" a="1"/>
  <c r="L63" i="8" a="1"/>
  <c r="L13" i="8" a="1"/>
  <c r="M56" i="8" a="1"/>
  <c r="M40" i="8" a="1"/>
  <c r="N80" i="8" a="1"/>
  <c r="N45" i="8" a="1"/>
  <c r="O78" i="8" a="1"/>
  <c r="O42" i="8" a="1"/>
  <c r="O11" i="8" a="1"/>
  <c r="N55" i="8" a="1"/>
  <c r="I18" i="8" a="1"/>
  <c r="N72" i="8" a="1"/>
  <c r="E75" i="8" a="1"/>
  <c r="E59" i="8" a="1"/>
  <c r="E41" i="8" a="1"/>
  <c r="E25" i="8" a="1"/>
  <c r="F67" i="8" a="1"/>
  <c r="F51" i="8" a="1"/>
  <c r="F34" i="8" a="1"/>
  <c r="F17" i="8" a="1"/>
  <c r="G82" i="8" a="1"/>
  <c r="G66" i="8" a="1"/>
  <c r="G50" i="8" a="1"/>
  <c r="G33" i="8" a="1"/>
  <c r="G16" i="8" a="1"/>
  <c r="H71" i="8" a="1"/>
  <c r="H53" i="8" a="1"/>
  <c r="H37" i="8" a="1"/>
  <c r="H19" i="8" a="1"/>
  <c r="I75" i="8" a="1"/>
  <c r="I59" i="8" a="1"/>
  <c r="I41" i="8" a="1"/>
  <c r="I25" i="8" a="1"/>
  <c r="J68" i="8" a="1"/>
  <c r="J52" i="8" a="1"/>
  <c r="J35" i="8" a="1"/>
  <c r="J18" i="8" a="1"/>
  <c r="K82" i="8" a="1"/>
  <c r="K66" i="8" a="1"/>
  <c r="K50" i="8" a="1"/>
  <c r="K33" i="8" a="1"/>
  <c r="K16" i="8" a="1"/>
  <c r="L79" i="8" a="1"/>
  <c r="L61" i="8" a="1"/>
  <c r="L44" i="8" a="1"/>
  <c r="L29" i="8" a="1"/>
  <c r="L12" i="8" a="1"/>
  <c r="M73" i="8" a="1"/>
  <c r="M55" i="8" a="1"/>
  <c r="M39" i="8" a="1"/>
  <c r="M22" i="8" a="1"/>
  <c r="N79" i="8" a="1"/>
  <c r="N61" i="8" a="1"/>
  <c r="N44" i="8" a="1"/>
  <c r="N29" i="8" a="1"/>
  <c r="N12" i="8" a="1"/>
  <c r="O75" i="8" a="1"/>
  <c r="O59" i="8" a="1"/>
  <c r="O41" i="8" a="1"/>
  <c r="O25" i="8" a="1"/>
  <c r="L60" i="8" a="1"/>
  <c r="L28" i="8" a="1"/>
  <c r="L11" i="8" a="1"/>
  <c r="M72" i="8" a="1"/>
  <c r="M54" i="8" a="1"/>
  <c r="M21" i="8" a="1"/>
  <c r="N78" i="8" a="1"/>
  <c r="N60" i="8" a="1"/>
  <c r="N28" i="8" a="1"/>
  <c r="N11" i="8" a="1"/>
  <c r="O56" i="8" a="1"/>
  <c r="O40" i="8" a="1"/>
  <c r="O39" i="8" a="1"/>
  <c r="L39" i="8" a="1"/>
  <c r="L22" i="8" a="1"/>
  <c r="M51" i="8" a="1"/>
  <c r="N22" i="8" a="1"/>
  <c r="I52" i="8" a="1"/>
  <c r="K25" i="8" a="1"/>
  <c r="L38" i="8" a="1"/>
  <c r="N38" i="8" a="1"/>
  <c r="E74" i="8" a="1"/>
  <c r="E56" i="8" a="1"/>
  <c r="E40" i="8" a="1"/>
  <c r="E24" i="8" a="1"/>
  <c r="F82" i="8" a="1"/>
  <c r="F66" i="8" a="1"/>
  <c r="F50" i="8" a="1"/>
  <c r="F33" i="8" a="1"/>
  <c r="F16" i="8" a="1"/>
  <c r="G81" i="8" a="1"/>
  <c r="G64" i="8" a="1"/>
  <c r="G46" i="8" a="1"/>
  <c r="G32" i="8" a="1"/>
  <c r="G15" i="8" a="1"/>
  <c r="H68" i="8" a="1"/>
  <c r="H52" i="8" a="1"/>
  <c r="H35" i="8" a="1"/>
  <c r="H18" i="8" a="1"/>
  <c r="I74" i="8" a="1"/>
  <c r="I56" i="8" a="1"/>
  <c r="I40" i="8" a="1"/>
  <c r="I24" i="8" a="1"/>
  <c r="J67" i="8" a="1"/>
  <c r="J51" i="8" a="1"/>
  <c r="J34" i="8" a="1"/>
  <c r="J17" i="8" a="1"/>
  <c r="K81" i="8" a="1"/>
  <c r="K64" i="8" a="1"/>
  <c r="K46" i="8" a="1"/>
  <c r="K32" i="8" a="1"/>
  <c r="K15" i="8" a="1"/>
  <c r="L78" i="8" a="1"/>
  <c r="L42" i="8" a="1"/>
  <c r="M38" i="8" a="1"/>
  <c r="N42" i="8" a="1"/>
  <c r="O74" i="8" a="1"/>
  <c r="O24" i="8" a="1"/>
  <c r="O22" i="8" a="1"/>
  <c r="I53" i="8" a="1"/>
  <c r="J45" i="8" a="1"/>
  <c r="J31" i="8" a="1"/>
  <c r="K60" i="8" a="1"/>
  <c r="K42" i="8" a="1"/>
  <c r="K11" i="8" a="1"/>
  <c r="L73" i="8" a="1"/>
  <c r="M67" i="8" a="1"/>
  <c r="N73" i="8" a="1"/>
  <c r="O37" i="8" a="1"/>
  <c r="J61" i="8" a="1"/>
  <c r="K75" i="8" a="1"/>
  <c r="L21" i="8" a="1"/>
  <c r="O52" i="8" a="1"/>
  <c r="E73" i="8" a="1"/>
  <c r="E55" i="8" a="1"/>
  <c r="E39" i="8" a="1"/>
  <c r="E22" i="8" a="1"/>
  <c r="F81" i="8" a="1"/>
  <c r="F64" i="8" a="1"/>
  <c r="F46" i="8" a="1"/>
  <c r="F32" i="8" a="1"/>
  <c r="F15" i="8" a="1"/>
  <c r="G80" i="8" a="1"/>
  <c r="G63" i="8" a="1"/>
  <c r="G45" i="8" a="1"/>
  <c r="G31" i="8" a="1"/>
  <c r="G13" i="8" a="1"/>
  <c r="H67" i="8" a="1"/>
  <c r="H51" i="8" a="1"/>
  <c r="H34" i="8" a="1"/>
  <c r="H17" i="8" a="1"/>
  <c r="I73" i="8" a="1"/>
  <c r="I55" i="8" a="1"/>
  <c r="I39" i="8" a="1"/>
  <c r="I22" i="8" a="1"/>
  <c r="J82" i="8" a="1"/>
  <c r="J66" i="8" a="1"/>
  <c r="J50" i="8" a="1"/>
  <c r="J33" i="8" a="1"/>
  <c r="J16" i="8" a="1"/>
  <c r="K80" i="8" a="1"/>
  <c r="K63" i="8" a="1"/>
  <c r="K45" i="8" a="1"/>
  <c r="K31" i="8" a="1"/>
  <c r="K13" i="8" a="1"/>
  <c r="L75" i="8" a="1"/>
  <c r="L59" i="8" a="1"/>
  <c r="L41" i="8" a="1"/>
  <c r="L25" i="8" a="1"/>
  <c r="M71" i="8" a="1"/>
  <c r="M53" i="8" a="1"/>
  <c r="M37" i="8" a="1"/>
  <c r="M19" i="8" a="1"/>
  <c r="N75" i="8" a="1"/>
  <c r="N59" i="8" a="1"/>
  <c r="N41" i="8" a="1"/>
  <c r="N25" i="8" a="1"/>
  <c r="O73" i="8" a="1"/>
  <c r="O55" i="8" a="1"/>
  <c r="I37" i="8" a="1"/>
  <c r="J29" i="8" a="1"/>
  <c r="M50" i="8" a="1"/>
  <c r="N54" i="8" a="1"/>
  <c r="E72" i="8" a="1"/>
  <c r="E54" i="8" a="1"/>
  <c r="E38" i="8" a="1"/>
  <c r="E21" i="8" a="1"/>
  <c r="F80" i="8" a="1"/>
  <c r="F63" i="8" a="1"/>
  <c r="F45" i="8" a="1"/>
  <c r="F31" i="8" a="1"/>
  <c r="F13" i="8" a="1"/>
  <c r="G79" i="8" a="1"/>
  <c r="G61" i="8" a="1"/>
  <c r="G44" i="8" a="1"/>
  <c r="G29" i="8" a="1"/>
  <c r="G12" i="8" a="1"/>
  <c r="H82" i="8" a="1"/>
  <c r="H66" i="8" a="1"/>
  <c r="H50" i="8" a="1"/>
  <c r="H33" i="8" a="1"/>
  <c r="H16" i="8" a="1"/>
  <c r="I72" i="8" a="1"/>
  <c r="I54" i="8" a="1"/>
  <c r="I38" i="8" a="1"/>
  <c r="I21" i="8" a="1"/>
  <c r="J81" i="8" a="1"/>
  <c r="J64" i="8" a="1"/>
  <c r="J46" i="8" a="1"/>
  <c r="J32" i="8" a="1"/>
  <c r="J15" i="8" a="1"/>
  <c r="K79" i="8" a="1"/>
  <c r="K61" i="8" a="1"/>
  <c r="K44" i="8" a="1"/>
  <c r="K29" i="8" a="1"/>
  <c r="K12" i="8" a="1"/>
  <c r="L74" i="8" a="1"/>
  <c r="L56" i="8" a="1"/>
  <c r="L40" i="8" a="1"/>
  <c r="L24" i="8" a="1"/>
  <c r="M68" i="8" a="1"/>
  <c r="M52" i="8" a="1"/>
  <c r="M35" i="8" a="1"/>
  <c r="M18" i="8" a="1"/>
  <c r="N74" i="8" a="1"/>
  <c r="N56" i="8" a="1"/>
  <c r="N40" i="8" a="1"/>
  <c r="N24" i="8" a="1"/>
  <c r="O72" i="8" a="1"/>
  <c r="O54" i="8" a="1"/>
  <c r="O38" i="8" a="1"/>
  <c r="O21" i="8" a="1"/>
  <c r="I19" i="8" a="1"/>
  <c r="J13" i="8" a="1"/>
  <c r="K78" i="8" a="1"/>
  <c r="K28" i="8" a="1"/>
  <c r="O71" i="8" a="1"/>
  <c r="H13" i="8" a="1"/>
  <c r="J44" i="8" a="1"/>
  <c r="N21" i="8" a="1"/>
  <c r="E71" i="8" a="1"/>
  <c r="E53" i="8" a="1"/>
  <c r="E37" i="8" a="1"/>
  <c r="E19" i="8" a="1"/>
  <c r="F79" i="8" a="1"/>
  <c r="F61" i="8" a="1"/>
  <c r="F44" i="8" a="1"/>
  <c r="F29" i="8" a="1"/>
  <c r="F12" i="8" a="1"/>
  <c r="G78" i="8" a="1"/>
  <c r="G60" i="8" a="1"/>
  <c r="G42" i="8" a="1"/>
  <c r="G28" i="8" a="1"/>
  <c r="G11" i="8" a="1"/>
  <c r="H81" i="8" a="1"/>
  <c r="H64" i="8" a="1"/>
  <c r="H46" i="8" a="1"/>
  <c r="H32" i="8" a="1"/>
  <c r="H15" i="8" a="1"/>
  <c r="I71" i="8" a="1"/>
  <c r="J80" i="8" a="1"/>
  <c r="J63" i="8" a="1"/>
  <c r="L55" i="8" a="1"/>
  <c r="M34" i="8" a="1"/>
  <c r="O53" i="8" a="1"/>
  <c r="O19" i="8" a="1"/>
  <c r="I35" i="8" a="1"/>
  <c r="L72" i="8" a="1"/>
  <c r="M16" i="8" a="1"/>
  <c r="M16" i="8" l="1"/>
  <c r="L72" i="8"/>
  <c r="I35" i="8"/>
  <c r="O19" i="8"/>
  <c r="O53" i="8"/>
  <c r="M34" i="8"/>
  <c r="L55" i="8"/>
  <c r="J63" i="8"/>
  <c r="J80" i="8"/>
  <c r="I71" i="8"/>
  <c r="H15" i="8"/>
  <c r="H32" i="8"/>
  <c r="H46" i="8"/>
  <c r="H64" i="8"/>
  <c r="H81" i="8"/>
  <c r="G11" i="8"/>
  <c r="G28" i="8"/>
  <c r="G42" i="8"/>
  <c r="G60" i="8"/>
  <c r="G78" i="8"/>
  <c r="F12" i="8"/>
  <c r="F29" i="8"/>
  <c r="F44" i="8"/>
  <c r="F61" i="8"/>
  <c r="F79" i="8"/>
  <c r="E19" i="8"/>
  <c r="E37" i="8"/>
  <c r="E53" i="8"/>
  <c r="E71" i="8"/>
  <c r="N21" i="8"/>
  <c r="J44" i="8"/>
  <c r="H13" i="8"/>
  <c r="O71" i="8"/>
  <c r="K28" i="8"/>
  <c r="K78" i="8"/>
  <c r="J13" i="8"/>
  <c r="I19" i="8"/>
  <c r="O21" i="8"/>
  <c r="O38" i="8"/>
  <c r="O54" i="8"/>
  <c r="O72" i="8"/>
  <c r="N24" i="8"/>
  <c r="N40" i="8"/>
  <c r="N56" i="8"/>
  <c r="N74" i="8"/>
  <c r="M18" i="8"/>
  <c r="M35" i="8"/>
  <c r="M52" i="8"/>
  <c r="M68" i="8"/>
  <c r="L24" i="8"/>
  <c r="L40" i="8"/>
  <c r="L56" i="8"/>
  <c r="L74" i="8"/>
  <c r="K12" i="8"/>
  <c r="K29" i="8"/>
  <c r="K44" i="8"/>
  <c r="K61" i="8"/>
  <c r="K79" i="8"/>
  <c r="J15" i="8"/>
  <c r="J32" i="8"/>
  <c r="J46" i="8"/>
  <c r="J64" i="8"/>
  <c r="J81" i="8"/>
  <c r="I21" i="8"/>
  <c r="I38" i="8"/>
  <c r="I54" i="8"/>
  <c r="I72" i="8"/>
  <c r="H16" i="8"/>
  <c r="H33" i="8"/>
  <c r="H50" i="8"/>
  <c r="H66" i="8"/>
  <c r="H82" i="8"/>
  <c r="G12" i="8"/>
  <c r="G29" i="8"/>
  <c r="G44" i="8"/>
  <c r="G61" i="8"/>
  <c r="G79" i="8"/>
  <c r="F13" i="8"/>
  <c r="F31" i="8"/>
  <c r="F45" i="8"/>
  <c r="F63" i="8"/>
  <c r="F80" i="8"/>
  <c r="E21" i="8"/>
  <c r="E38" i="8"/>
  <c r="E54" i="8"/>
  <c r="E72" i="8"/>
  <c r="N54" i="8"/>
  <c r="M50" i="8"/>
  <c r="J29" i="8"/>
  <c r="I37" i="8"/>
  <c r="O55" i="8"/>
  <c r="O73" i="8"/>
  <c r="N25" i="8"/>
  <c r="N41" i="8"/>
  <c r="N59" i="8"/>
  <c r="N75" i="8"/>
  <c r="M19" i="8"/>
  <c r="M37" i="8"/>
  <c r="M53" i="8"/>
  <c r="M71" i="8"/>
  <c r="L25" i="8"/>
  <c r="L41" i="8"/>
  <c r="L59" i="8"/>
  <c r="L75" i="8"/>
  <c r="K13" i="8"/>
  <c r="K31" i="8"/>
  <c r="K45" i="8"/>
  <c r="K63" i="8"/>
  <c r="K80" i="8"/>
  <c r="J16" i="8"/>
  <c r="J33" i="8"/>
  <c r="J50" i="8"/>
  <c r="J66" i="8"/>
  <c r="J82" i="8"/>
  <c r="I22" i="8"/>
  <c r="I39" i="8"/>
  <c r="I55" i="8"/>
  <c r="I73" i="8"/>
  <c r="H17" i="8"/>
  <c r="H34" i="8"/>
  <c r="H51" i="8"/>
  <c r="H67" i="8"/>
  <c r="G13" i="8"/>
  <c r="G31" i="8"/>
  <c r="G45" i="8"/>
  <c r="G63" i="8"/>
  <c r="G80" i="8"/>
  <c r="F15" i="8"/>
  <c r="F32" i="8"/>
  <c r="F46" i="8"/>
  <c r="F64" i="8"/>
  <c r="F81" i="8"/>
  <c r="E22" i="8"/>
  <c r="E39" i="8"/>
  <c r="E55" i="8"/>
  <c r="E73" i="8"/>
  <c r="O52" i="8"/>
  <c r="L21" i="8"/>
  <c r="K75" i="8"/>
  <c r="J61" i="8"/>
  <c r="O37" i="8"/>
  <c r="N73" i="8"/>
  <c r="M67" i="8"/>
  <c r="L73" i="8"/>
  <c r="K11" i="8"/>
  <c r="K42" i="8"/>
  <c r="K60" i="8"/>
  <c r="J31" i="8"/>
  <c r="J45" i="8"/>
  <c r="I53" i="8"/>
  <c r="O22" i="8"/>
  <c r="O24" i="8"/>
  <c r="O74" i="8"/>
  <c r="N42" i="8"/>
  <c r="M38" i="8"/>
  <c r="L42" i="8"/>
  <c r="L78" i="8"/>
  <c r="K15" i="8"/>
  <c r="K32" i="8"/>
  <c r="K46" i="8"/>
  <c r="K64" i="8"/>
  <c r="K81" i="8"/>
  <c r="J17" i="8"/>
  <c r="J34" i="8"/>
  <c r="J51" i="8"/>
  <c r="J67" i="8"/>
  <c r="I24" i="8"/>
  <c r="I40" i="8"/>
  <c r="I56" i="8"/>
  <c r="I74" i="8"/>
  <c r="H18" i="8"/>
  <c r="H35" i="8"/>
  <c r="H52" i="8"/>
  <c r="H68" i="8"/>
  <c r="G15" i="8"/>
  <c r="G32" i="8"/>
  <c r="G46" i="8"/>
  <c r="G64" i="8"/>
  <c r="G81" i="8"/>
  <c r="F16" i="8"/>
  <c r="F33" i="8"/>
  <c r="F50" i="8"/>
  <c r="F66" i="8"/>
  <c r="F82" i="8"/>
  <c r="E24" i="8"/>
  <c r="E40" i="8"/>
  <c r="E56" i="8"/>
  <c r="E74" i="8"/>
  <c r="N38" i="8"/>
  <c r="L38" i="8"/>
  <c r="K25" i="8"/>
  <c r="I52" i="8"/>
  <c r="N22" i="8"/>
  <c r="M51" i="8"/>
  <c r="L22" i="8"/>
  <c r="L39" i="8"/>
  <c r="O39" i="8"/>
  <c r="O40" i="8"/>
  <c r="O56" i="8"/>
  <c r="N11" i="8"/>
  <c r="N28" i="8"/>
  <c r="N60" i="8"/>
  <c r="N78" i="8"/>
  <c r="M21" i="8"/>
  <c r="M54" i="8"/>
  <c r="M72" i="8"/>
  <c r="L11" i="8"/>
  <c r="L28" i="8"/>
  <c r="L60" i="8"/>
  <c r="O25" i="8"/>
  <c r="O41" i="8"/>
  <c r="O59" i="8"/>
  <c r="O75" i="8"/>
  <c r="N12" i="8"/>
  <c r="N29" i="8"/>
  <c r="N44" i="8"/>
  <c r="N61" i="8"/>
  <c r="N79" i="8"/>
  <c r="M22" i="8"/>
  <c r="M39" i="8"/>
  <c r="M55" i="8"/>
  <c r="M73" i="8"/>
  <c r="L12" i="8"/>
  <c r="L29" i="8"/>
  <c r="L44" i="8"/>
  <c r="L61" i="8"/>
  <c r="L79" i="8"/>
  <c r="K16" i="8"/>
  <c r="K33" i="8"/>
  <c r="K50" i="8"/>
  <c r="K66" i="8"/>
  <c r="K82" i="8"/>
  <c r="J18" i="8"/>
  <c r="J35" i="8"/>
  <c r="J52" i="8"/>
  <c r="J68" i="8"/>
  <c r="I25" i="8"/>
  <c r="I41" i="8"/>
  <c r="I59" i="8"/>
  <c r="I75" i="8"/>
  <c r="H19" i="8"/>
  <c r="H37" i="8"/>
  <c r="H53" i="8"/>
  <c r="H71" i="8"/>
  <c r="G16" i="8"/>
  <c r="G33" i="8"/>
  <c r="G50" i="8"/>
  <c r="G66" i="8"/>
  <c r="G82" i="8"/>
  <c r="F17" i="8"/>
  <c r="F34" i="8"/>
  <c r="F51" i="8"/>
  <c r="F67" i="8"/>
  <c r="E25" i="8"/>
  <c r="E41" i="8"/>
  <c r="E59" i="8"/>
  <c r="E75" i="8"/>
  <c r="N72" i="8"/>
  <c r="I18" i="8"/>
  <c r="N55" i="8"/>
  <c r="O11" i="8"/>
  <c r="O42" i="8"/>
  <c r="O78" i="8"/>
  <c r="N45" i="8"/>
  <c r="N80" i="8"/>
  <c r="M40" i="8"/>
  <c r="M56" i="8"/>
  <c r="L13" i="8"/>
  <c r="L63" i="8"/>
  <c r="K34" i="8"/>
  <c r="K67" i="8"/>
  <c r="J19" i="8"/>
  <c r="J37" i="8"/>
  <c r="J53" i="8"/>
  <c r="J71" i="8"/>
  <c r="I11" i="8"/>
  <c r="I28" i="8"/>
  <c r="I42" i="8"/>
  <c r="I60" i="8"/>
  <c r="I78" i="8"/>
  <c r="H21" i="8"/>
  <c r="H38" i="8"/>
  <c r="H54" i="8"/>
  <c r="H72" i="8"/>
  <c r="G17" i="8"/>
  <c r="G34" i="8"/>
  <c r="G51" i="8"/>
  <c r="G67" i="8"/>
  <c r="F18" i="8"/>
  <c r="F35" i="8"/>
  <c r="F52" i="8"/>
  <c r="F68" i="8"/>
  <c r="E11" i="8"/>
  <c r="E28" i="8"/>
  <c r="E42" i="8"/>
  <c r="E60" i="8"/>
  <c r="E78" i="8"/>
  <c r="O18" i="8"/>
  <c r="L54" i="8"/>
  <c r="J79" i="8"/>
  <c r="N39" i="8"/>
  <c r="M17" i="8"/>
  <c r="O28" i="8"/>
  <c r="O60" i="8"/>
  <c r="N13" i="8"/>
  <c r="N31" i="8"/>
  <c r="N63" i="8"/>
  <c r="M24" i="8"/>
  <c r="M74" i="8"/>
  <c r="L31" i="8"/>
  <c r="L45" i="8"/>
  <c r="L80" i="8"/>
  <c r="K17" i="8"/>
  <c r="K51" i="8"/>
  <c r="O12" i="8"/>
  <c r="O29" i="8"/>
  <c r="O44" i="8"/>
  <c r="O61" i="8"/>
  <c r="O79" i="8"/>
  <c r="N15" i="8"/>
  <c r="N32" i="8"/>
  <c r="N46" i="8"/>
  <c r="N64" i="8"/>
  <c r="N81" i="8"/>
  <c r="M25" i="8"/>
  <c r="M41" i="8"/>
  <c r="M59" i="8"/>
  <c r="M75" i="8"/>
  <c r="L15" i="8"/>
  <c r="L32" i="8"/>
  <c r="L46" i="8"/>
  <c r="L64" i="8"/>
  <c r="L81" i="8"/>
  <c r="K18" i="8"/>
  <c r="K35" i="8"/>
  <c r="K52" i="8"/>
  <c r="K68" i="8"/>
  <c r="J21" i="8"/>
  <c r="J38" i="8"/>
  <c r="J54" i="8"/>
  <c r="J72" i="8"/>
  <c r="I12" i="8"/>
  <c r="I29" i="8"/>
  <c r="I44" i="8"/>
  <c r="I61" i="8"/>
  <c r="I79" i="8"/>
  <c r="H22" i="8"/>
  <c r="H39" i="8"/>
  <c r="H55" i="8"/>
  <c r="H73" i="8"/>
  <c r="G18" i="8"/>
  <c r="G35" i="8"/>
  <c r="G52" i="8"/>
  <c r="G68" i="8"/>
  <c r="F19" i="8"/>
  <c r="F37" i="8"/>
  <c r="F53" i="8"/>
  <c r="F71" i="8"/>
  <c r="E12" i="8"/>
  <c r="E29" i="8"/>
  <c r="E44" i="8"/>
  <c r="E61" i="8"/>
  <c r="E79" i="8"/>
  <c r="O68" i="8"/>
  <c r="M66" i="8"/>
  <c r="K41" i="8"/>
  <c r="J12" i="8"/>
  <c r="I68" i="8"/>
  <c r="O13" i="8"/>
  <c r="O31" i="8"/>
  <c r="O45" i="8"/>
  <c r="O63" i="8"/>
  <c r="O80" i="8"/>
  <c r="N16" i="8"/>
  <c r="N33" i="8"/>
  <c r="N50" i="8"/>
  <c r="N66" i="8"/>
  <c r="N82" i="8"/>
  <c r="M11" i="8"/>
  <c r="M28" i="8"/>
  <c r="M42" i="8"/>
  <c r="M60" i="8"/>
  <c r="M78" i="8"/>
  <c r="L16" i="8"/>
  <c r="L33" i="8"/>
  <c r="L50" i="8"/>
  <c r="L66" i="8"/>
  <c r="L82" i="8"/>
  <c r="K19" i="8"/>
  <c r="K37" i="8"/>
  <c r="K53" i="8"/>
  <c r="K71" i="8"/>
  <c r="J22" i="8"/>
  <c r="J39" i="8"/>
  <c r="J55" i="8"/>
  <c r="J73" i="8"/>
  <c r="I13" i="8"/>
  <c r="I31" i="8"/>
  <c r="I45" i="8"/>
  <c r="I63" i="8"/>
  <c r="I80" i="8"/>
  <c r="H24" i="8"/>
  <c r="H40" i="8"/>
  <c r="H56" i="8"/>
  <c r="H74" i="8"/>
  <c r="G19" i="8"/>
  <c r="G37" i="8"/>
  <c r="G53" i="8"/>
  <c r="G71" i="8"/>
  <c r="F21" i="8"/>
  <c r="F38" i="8"/>
  <c r="F54" i="8"/>
  <c r="F72" i="8"/>
  <c r="E13" i="8"/>
  <c r="E31" i="8"/>
  <c r="E45" i="8"/>
  <c r="E63" i="8"/>
  <c r="E80" i="8"/>
  <c r="O35" i="8"/>
  <c r="O15" i="8"/>
  <c r="O32" i="8"/>
  <c r="O46" i="8"/>
  <c r="O64" i="8"/>
  <c r="O81" i="8"/>
  <c r="N17" i="8"/>
  <c r="N34" i="8"/>
  <c r="N51" i="8"/>
  <c r="N67" i="8"/>
  <c r="M12" i="8"/>
  <c r="M29" i="8"/>
  <c r="M44" i="8"/>
  <c r="M61" i="8"/>
  <c r="M79" i="8"/>
  <c r="L17" i="8"/>
  <c r="L34" i="8"/>
  <c r="L51" i="8"/>
  <c r="L67" i="8"/>
  <c r="K21" i="8"/>
  <c r="K38" i="8"/>
  <c r="K54" i="8"/>
  <c r="K72" i="8"/>
  <c r="J24" i="8"/>
  <c r="J40" i="8"/>
  <c r="J56" i="8"/>
  <c r="J74" i="8"/>
  <c r="I15" i="8"/>
  <c r="I32" i="8"/>
  <c r="I46" i="8"/>
  <c r="I64" i="8"/>
  <c r="I81" i="8"/>
  <c r="H25" i="8"/>
  <c r="H41" i="8"/>
  <c r="H59" i="8"/>
  <c r="H75" i="8"/>
  <c r="G21" i="8"/>
  <c r="G38" i="8"/>
  <c r="G54" i="8"/>
  <c r="G72" i="8"/>
  <c r="F22" i="8"/>
  <c r="F39" i="8"/>
  <c r="F55" i="8"/>
  <c r="F73" i="8"/>
  <c r="E15" i="8"/>
  <c r="E32" i="8"/>
  <c r="E46" i="8"/>
  <c r="E64" i="8"/>
  <c r="E81" i="8"/>
  <c r="M33" i="8"/>
  <c r="M82" i="8"/>
  <c r="K59" i="8"/>
  <c r="O16" i="8"/>
  <c r="O33" i="8"/>
  <c r="O50" i="8"/>
  <c r="O66" i="8"/>
  <c r="O82" i="8"/>
  <c r="N18" i="8"/>
  <c r="N35" i="8"/>
  <c r="N52" i="8"/>
  <c r="N68" i="8"/>
  <c r="M13" i="8"/>
  <c r="M31" i="8"/>
  <c r="M45" i="8"/>
  <c r="M63" i="8"/>
  <c r="M80" i="8"/>
  <c r="L18" i="8"/>
  <c r="L35" i="8"/>
  <c r="L52" i="8"/>
  <c r="L68" i="8"/>
  <c r="K22" i="8"/>
  <c r="K39" i="8"/>
  <c r="K55" i="8"/>
  <c r="K73" i="8"/>
  <c r="J25" i="8"/>
  <c r="J41" i="8"/>
  <c r="J59" i="8"/>
  <c r="J75" i="8"/>
  <c r="I16" i="8"/>
  <c r="I33" i="8"/>
  <c r="I50" i="8"/>
  <c r="I66" i="8"/>
  <c r="I82" i="8"/>
  <c r="H11" i="8"/>
  <c r="H28" i="8"/>
  <c r="H42" i="8"/>
  <c r="H60" i="8"/>
  <c r="H78" i="8"/>
  <c r="G22" i="8"/>
  <c r="G39" i="8"/>
  <c r="G55" i="8"/>
  <c r="G73" i="8"/>
  <c r="F24" i="8"/>
  <c r="F40" i="8"/>
  <c r="F56" i="8"/>
  <c r="F74" i="8"/>
  <c r="E16" i="8"/>
  <c r="E33" i="8"/>
  <c r="E50" i="8"/>
  <c r="E66" i="8"/>
  <c r="E82" i="8"/>
  <c r="O17" i="8"/>
  <c r="O34" i="8"/>
  <c r="O51" i="8"/>
  <c r="O67" i="8"/>
  <c r="N19" i="8"/>
  <c r="N37" i="8"/>
  <c r="N53" i="8"/>
  <c r="N71" i="8"/>
  <c r="M15" i="8"/>
  <c r="M32" i="8"/>
  <c r="M46" i="8"/>
  <c r="M64" i="8"/>
  <c r="M81" i="8"/>
  <c r="L19" i="8"/>
  <c r="L37" i="8"/>
  <c r="L53" i="8"/>
  <c r="L71" i="8"/>
  <c r="K24" i="8"/>
  <c r="K40" i="8"/>
  <c r="K56" i="8"/>
  <c r="K74" i="8"/>
  <c r="J11" i="8"/>
  <c r="J28" i="8"/>
  <c r="J42" i="8"/>
  <c r="J60" i="8"/>
  <c r="J78" i="8"/>
  <c r="I17" i="8"/>
  <c r="I34" i="8"/>
  <c r="I51" i="8"/>
  <c r="I67" i="8"/>
  <c r="H12" i="8"/>
  <c r="H29" i="8"/>
  <c r="H44" i="8"/>
  <c r="H61" i="8"/>
  <c r="H79" i="8"/>
  <c r="G24" i="8"/>
  <c r="G40" i="8"/>
  <c r="G56" i="8"/>
  <c r="G74" i="8"/>
  <c r="F25" i="8"/>
  <c r="F41" i="8"/>
  <c r="F59" i="8"/>
  <c r="F75" i="8"/>
  <c r="E17" i="8"/>
  <c r="E34" i="8"/>
  <c r="E51" i="8"/>
  <c r="E67" i="8"/>
  <c r="H31" i="8"/>
  <c r="H45" i="8"/>
  <c r="H63" i="8"/>
  <c r="H80" i="8"/>
  <c r="G25" i="8"/>
  <c r="G41" i="8"/>
  <c r="G59" i="8"/>
  <c r="G75" i="8"/>
  <c r="F11" i="8"/>
  <c r="F28" i="8"/>
  <c r="F42" i="8"/>
  <c r="F60" i="8"/>
  <c r="F78" i="8"/>
  <c r="E18" i="8"/>
  <c r="E35" i="8"/>
  <c r="E52" i="8"/>
  <c r="E68" i="8"/>
  <c r="J108" i="23"/>
  <c r="C129" i="23"/>
  <c r="F138" i="23"/>
  <c r="J122" i="23"/>
  <c r="L124" i="23"/>
  <c r="J167" i="23"/>
  <c r="J112" i="23" s="1"/>
  <c r="J251" i="23"/>
  <c r="I167" i="23"/>
  <c r="G246" i="23"/>
  <c r="E225" i="24"/>
  <c r="B107" i="9"/>
  <c r="C168" i="23"/>
  <c r="J159" i="23"/>
  <c r="J228" i="23"/>
  <c r="I135" i="23"/>
  <c r="I168" i="23"/>
  <c r="I219" i="23"/>
  <c r="H209" i="23"/>
  <c r="H210" i="23" s="1"/>
  <c r="G26" i="24"/>
  <c r="G154" i="23"/>
  <c r="G170" i="24"/>
  <c r="G249" i="23"/>
  <c r="F164" i="23"/>
  <c r="F165" i="23" s="1"/>
  <c r="K232" i="23"/>
  <c r="I246" i="23"/>
  <c r="F166" i="23"/>
  <c r="E159" i="23"/>
  <c r="E252" i="23"/>
  <c r="E253" i="23" s="1"/>
  <c r="B209" i="23"/>
  <c r="B210" i="23" s="1"/>
  <c r="C154" i="24"/>
  <c r="K164" i="23"/>
  <c r="K165" i="23" s="1"/>
  <c r="H162" i="23"/>
  <c r="G172" i="23"/>
  <c r="L168" i="23"/>
  <c r="L219" i="23"/>
  <c r="J209" i="23"/>
  <c r="I154" i="23"/>
  <c r="H164" i="23"/>
  <c r="G173" i="24"/>
  <c r="G251" i="23"/>
  <c r="F167" i="23"/>
  <c r="E230" i="23"/>
  <c r="C250" i="24"/>
  <c r="K166" i="23"/>
  <c r="G159" i="23"/>
  <c r="G174" i="24"/>
  <c r="F168" i="23"/>
  <c r="F219" i="24"/>
  <c r="E161" i="23"/>
  <c r="E209" i="23"/>
  <c r="E210" i="23" s="1"/>
  <c r="E231" i="23"/>
  <c r="C251" i="23"/>
  <c r="J162" i="23"/>
  <c r="J211" i="24"/>
  <c r="J212" i="24" s="1"/>
  <c r="J232" i="23"/>
  <c r="J164" i="23"/>
  <c r="J165" i="23" s="1"/>
  <c r="I173" i="24"/>
  <c r="I251" i="23"/>
  <c r="F246" i="23"/>
  <c r="E162" i="23"/>
  <c r="E232" i="23"/>
  <c r="E233" i="23" s="1"/>
  <c r="B166" i="23"/>
  <c r="B215" i="23"/>
  <c r="B216" i="23" s="1"/>
  <c r="C107" i="9"/>
  <c r="C159" i="23"/>
  <c r="K219" i="23"/>
  <c r="K235" i="23" s="1"/>
  <c r="K245" i="24"/>
  <c r="L224" i="23"/>
  <c r="J213" i="23"/>
  <c r="J214" i="23" s="1"/>
  <c r="L250" i="24"/>
  <c r="J166" i="23"/>
  <c r="G116" i="24"/>
  <c r="G209" i="23"/>
  <c r="G210" i="23" s="1"/>
  <c r="F154" i="23"/>
  <c r="E164" i="24"/>
  <c r="E165" i="24" s="1"/>
  <c r="E241" i="23"/>
  <c r="E242" i="23" s="1"/>
  <c r="G117" i="24"/>
  <c r="E166" i="23"/>
  <c r="J168" i="23"/>
  <c r="J219" i="23"/>
  <c r="J235" i="23" s="1"/>
  <c r="J245" i="23"/>
  <c r="I209" i="24"/>
  <c r="I210" i="24" s="1"/>
  <c r="G164" i="23"/>
  <c r="G165" i="23" s="1"/>
  <c r="F173" i="24"/>
  <c r="F251" i="23"/>
  <c r="C162" i="23"/>
  <c r="C211" i="24"/>
  <c r="C212" i="24" s="1"/>
  <c r="C232" i="23"/>
  <c r="C233" i="23" s="1"/>
  <c r="G162" i="23"/>
  <c r="J246" i="23"/>
  <c r="B26" i="9"/>
  <c r="B45" i="9" s="1"/>
  <c r="B88" i="9" s="1"/>
  <c r="B154" i="23"/>
  <c r="G166" i="23"/>
  <c r="F159" i="23"/>
  <c r="E168" i="23"/>
  <c r="I164" i="23"/>
  <c r="I165" i="23" s="1"/>
  <c r="H173" i="23"/>
  <c r="H251" i="23"/>
  <c r="G167" i="23"/>
  <c r="E169" i="23"/>
  <c r="C166" i="23"/>
  <c r="H246" i="23"/>
  <c r="J169" i="24"/>
  <c r="H159" i="23"/>
  <c r="H252" i="23"/>
  <c r="H253" i="23" s="1"/>
  <c r="G168" i="23"/>
  <c r="G219" i="23"/>
  <c r="G245" i="24"/>
  <c r="F161" i="23"/>
  <c r="E154" i="23"/>
  <c r="E224" i="23"/>
  <c r="D164" i="23"/>
  <c r="D165" i="23" s="1"/>
  <c r="C167" i="23"/>
  <c r="C244" i="23"/>
  <c r="I122" i="23"/>
  <c r="I124" i="23"/>
  <c r="B124" i="23"/>
  <c r="L109" i="23"/>
  <c r="G108" i="23"/>
  <c r="D138" i="23"/>
  <c r="G109" i="23"/>
  <c r="F109" i="23"/>
  <c r="I129" i="23"/>
  <c r="H108" i="23"/>
  <c r="F138" i="24"/>
  <c r="K129" i="23"/>
  <c r="I108" i="23"/>
  <c r="D122" i="23"/>
  <c r="J126" i="23"/>
  <c r="J228" i="24"/>
  <c r="G227" i="24"/>
  <c r="G160" i="24"/>
  <c r="F222" i="24"/>
  <c r="F223" i="24" s="1"/>
  <c r="C117" i="24"/>
  <c r="J215" i="23"/>
  <c r="J216" i="23" s="1"/>
  <c r="E174" i="24"/>
  <c r="F215" i="24"/>
  <c r="F216" i="24" s="1"/>
  <c r="I161" i="23"/>
  <c r="J222" i="24"/>
  <c r="J223" i="24" s="1"/>
  <c r="F174" i="23"/>
  <c r="D224" i="24"/>
  <c r="F231" i="24"/>
  <c r="G122" i="23"/>
  <c r="B233" i="23"/>
  <c r="G124" i="24"/>
  <c r="G124" i="23"/>
  <c r="E126" i="23"/>
  <c r="B126" i="23"/>
  <c r="B235" i="23"/>
  <c r="I124" i="24"/>
  <c r="H122" i="23"/>
  <c r="E129" i="23"/>
  <c r="E108" i="23"/>
  <c r="D129" i="23"/>
  <c r="K138" i="23"/>
  <c r="F108" i="23"/>
  <c r="H126" i="23"/>
  <c r="E109" i="23"/>
  <c r="F110" i="23" s="1"/>
  <c r="G138" i="23"/>
  <c r="L122" i="23"/>
  <c r="L108" i="23"/>
  <c r="C124" i="23"/>
  <c r="H165" i="23"/>
  <c r="J210" i="23"/>
  <c r="J233" i="23"/>
  <c r="C126" i="23"/>
  <c r="G138" i="24"/>
  <c r="I126" i="23"/>
  <c r="I138" i="23"/>
  <c r="B233" i="24"/>
  <c r="G126" i="23"/>
  <c r="D126" i="23"/>
  <c r="K108" i="23"/>
  <c r="H138" i="23"/>
  <c r="E124" i="24"/>
  <c r="K233" i="23"/>
  <c r="K126" i="23"/>
  <c r="C124" i="24"/>
  <c r="J138" i="24"/>
  <c r="E124" i="23"/>
  <c r="J138" i="23"/>
  <c r="B235" i="24"/>
  <c r="C159" i="24"/>
  <c r="H109" i="23"/>
  <c r="L126" i="23"/>
  <c r="F124" i="24"/>
  <c r="D109" i="23"/>
  <c r="F126" i="23"/>
  <c r="F122" i="23"/>
  <c r="F219" i="23"/>
  <c r="I160" i="23"/>
  <c r="I160" i="24"/>
  <c r="B160" i="23"/>
  <c r="F225" i="23"/>
  <c r="C228" i="23"/>
  <c r="C228" i="24"/>
  <c r="C116" i="23"/>
  <c r="L219" i="24"/>
  <c r="E232" i="24"/>
  <c r="E233" i="24" s="1"/>
  <c r="F168" i="24"/>
  <c r="G108" i="24"/>
  <c r="G109" i="24"/>
  <c r="F154" i="24"/>
  <c r="I164" i="24"/>
  <c r="I165" i="24" s="1"/>
  <c r="K124" i="23"/>
  <c r="I122" i="24"/>
  <c r="K126" i="24"/>
  <c r="K129" i="24"/>
  <c r="J162" i="24"/>
  <c r="F135" i="23"/>
  <c r="F135" i="24"/>
  <c r="F215" i="23"/>
  <c r="F216" i="23" s="1"/>
  <c r="C161" i="23"/>
  <c r="C161" i="24"/>
  <c r="J252" i="23"/>
  <c r="J253" i="23" s="1"/>
  <c r="J252" i="24"/>
  <c r="J253" i="24" s="1"/>
  <c r="G227" i="23"/>
  <c r="G228" i="23"/>
  <c r="G228" i="24"/>
  <c r="J227" i="23"/>
  <c r="J227" i="24"/>
  <c r="J211" i="23"/>
  <c r="J212" i="23" s="1"/>
  <c r="I224" i="23"/>
  <c r="I224" i="24"/>
  <c r="H227" i="23"/>
  <c r="H227" i="24"/>
  <c r="L250" i="23"/>
  <c r="E160" i="23"/>
  <c r="E160" i="24"/>
  <c r="E241" i="24"/>
  <c r="E242" i="24" s="1"/>
  <c r="F161" i="24"/>
  <c r="C26" i="23"/>
  <c r="C45" i="23" s="1"/>
  <c r="C48" i="23" s="1"/>
  <c r="C49" i="23" s="1"/>
  <c r="C26" i="24"/>
  <c r="C117" i="23"/>
  <c r="C211" i="23"/>
  <c r="C212" i="23" s="1"/>
  <c r="C122" i="24"/>
  <c r="J109" i="24"/>
  <c r="J108" i="24"/>
  <c r="I158" i="24"/>
  <c r="I156" i="24"/>
  <c r="I54" i="24"/>
  <c r="I58" i="24"/>
  <c r="I105" i="24"/>
  <c r="I102" i="24" s="1"/>
  <c r="I219" i="24"/>
  <c r="G209" i="24"/>
  <c r="G210" i="24" s="1"/>
  <c r="G169" i="24"/>
  <c r="E166" i="24"/>
  <c r="J251" i="24"/>
  <c r="E173" i="24"/>
  <c r="D129" i="24"/>
  <c r="D126" i="24"/>
  <c r="F232" i="24"/>
  <c r="F233" i="24" s="1"/>
  <c r="G160" i="23"/>
  <c r="J26" i="23"/>
  <c r="J45" i="23" s="1"/>
  <c r="J48" i="23" s="1"/>
  <c r="J49" i="23" s="1"/>
  <c r="J26" i="24"/>
  <c r="J217" i="23"/>
  <c r="J218" i="23" s="1"/>
  <c r="J217" i="24"/>
  <c r="J218" i="24" s="1"/>
  <c r="I250" i="23"/>
  <c r="I250" i="24"/>
  <c r="I172" i="23"/>
  <c r="I172" i="24"/>
  <c r="H170" i="23"/>
  <c r="H170" i="24"/>
  <c r="G245" i="23"/>
  <c r="J241" i="23"/>
  <c r="J242" i="23" s="1"/>
  <c r="J241" i="24"/>
  <c r="J242" i="24" s="1"/>
  <c r="I117" i="23"/>
  <c r="I117" i="24"/>
  <c r="I217" i="23"/>
  <c r="I218" i="23" s="1"/>
  <c r="I217" i="24"/>
  <c r="I218" i="24" s="1"/>
  <c r="H116" i="23"/>
  <c r="H116" i="24"/>
  <c r="B215" i="24"/>
  <c r="B216" i="24" s="1"/>
  <c r="G117" i="23"/>
  <c r="G211" i="23"/>
  <c r="G212" i="23" s="1"/>
  <c r="G211" i="24"/>
  <c r="G212" i="24" s="1"/>
  <c r="J116" i="23"/>
  <c r="J116" i="24"/>
  <c r="I135" i="24"/>
  <c r="H245" i="24"/>
  <c r="H224" i="23"/>
  <c r="H224" i="24"/>
  <c r="F249" i="23"/>
  <c r="F249" i="24"/>
  <c r="C170" i="23"/>
  <c r="C170" i="24"/>
  <c r="C213" i="23"/>
  <c r="C214" i="23" s="1"/>
  <c r="C213" i="24"/>
  <c r="C214" i="24" s="1"/>
  <c r="K244" i="23"/>
  <c r="I173" i="23"/>
  <c r="J129" i="23"/>
  <c r="E167" i="24"/>
  <c r="I52" i="24"/>
  <c r="L124" i="24"/>
  <c r="C162" i="24"/>
  <c r="F167" i="24"/>
  <c r="J129" i="24"/>
  <c r="J126" i="24"/>
  <c r="B158" i="24"/>
  <c r="B156" i="24"/>
  <c r="B54" i="24"/>
  <c r="E158" i="24"/>
  <c r="E156" i="24"/>
  <c r="E58" i="24"/>
  <c r="E105" i="24"/>
  <c r="E102" i="24" s="1"/>
  <c r="E54" i="24"/>
  <c r="D122" i="24"/>
  <c r="G215" i="23"/>
  <c r="G216" i="23" s="1"/>
  <c r="G215" i="24"/>
  <c r="G216" i="24" s="1"/>
  <c r="G26" i="23"/>
  <c r="G45" i="23" s="1"/>
  <c r="G48" i="23" s="1"/>
  <c r="G49" i="23" s="1"/>
  <c r="G170" i="23"/>
  <c r="G213" i="23"/>
  <c r="G214" i="23" s="1"/>
  <c r="J117" i="24"/>
  <c r="I249" i="23"/>
  <c r="I249" i="24"/>
  <c r="L244" i="23"/>
  <c r="L244" i="24"/>
  <c r="F241" i="23"/>
  <c r="F242" i="23" s="1"/>
  <c r="F241" i="24"/>
  <c r="F242" i="24" s="1"/>
  <c r="C135" i="23"/>
  <c r="C135" i="24"/>
  <c r="C215" i="23"/>
  <c r="C216" i="23" s="1"/>
  <c r="C215" i="24"/>
  <c r="C216" i="24" s="1"/>
  <c r="K245" i="23"/>
  <c r="J169" i="23"/>
  <c r="E168" i="24"/>
  <c r="F109" i="24"/>
  <c r="F108" i="24"/>
  <c r="I167" i="24"/>
  <c r="J159" i="24"/>
  <c r="H124" i="24"/>
  <c r="L138" i="24"/>
  <c r="G159" i="24"/>
  <c r="B166" i="24"/>
  <c r="C138" i="24"/>
  <c r="E52" i="24"/>
  <c r="J167" i="24"/>
  <c r="L109" i="24"/>
  <c r="L108" i="24"/>
  <c r="G162" i="24"/>
  <c r="F124" i="23"/>
  <c r="F166" i="24"/>
  <c r="H124" i="23"/>
  <c r="F126" i="24"/>
  <c r="F129" i="24"/>
  <c r="I138" i="24"/>
  <c r="L138" i="23"/>
  <c r="I168" i="24"/>
  <c r="C138" i="23"/>
  <c r="D158" i="24"/>
  <c r="D156" i="24"/>
  <c r="D58" i="24"/>
  <c r="D105" i="24"/>
  <c r="D102" i="24" s="1"/>
  <c r="D54" i="24"/>
  <c r="F243" i="23"/>
  <c r="F243" i="24"/>
  <c r="C217" i="23"/>
  <c r="C218" i="23" s="1"/>
  <c r="C217" i="24"/>
  <c r="C218" i="24" s="1"/>
  <c r="G244" i="24"/>
  <c r="G224" i="23"/>
  <c r="G224" i="24"/>
  <c r="G217" i="23"/>
  <c r="G218" i="23" s="1"/>
  <c r="G217" i="24"/>
  <c r="G218" i="24" s="1"/>
  <c r="I231" i="23"/>
  <c r="I231" i="24"/>
  <c r="H135" i="23"/>
  <c r="H135" i="24"/>
  <c r="H230" i="23"/>
  <c r="H230" i="24"/>
  <c r="B241" i="23"/>
  <c r="B242" i="23" s="1"/>
  <c r="B241" i="24"/>
  <c r="B242" i="24" s="1"/>
  <c r="L217" i="23"/>
  <c r="L218" i="23" s="1"/>
  <c r="L217" i="24"/>
  <c r="L218" i="24" s="1"/>
  <c r="E228" i="23"/>
  <c r="E228" i="24"/>
  <c r="E116" i="23"/>
  <c r="E116" i="24"/>
  <c r="E211" i="23"/>
  <c r="E212" i="23" s="1"/>
  <c r="E211" i="24"/>
  <c r="E212" i="24" s="1"/>
  <c r="F252" i="23"/>
  <c r="F253" i="23" s="1"/>
  <c r="F252" i="24"/>
  <c r="F253" i="24" s="1"/>
  <c r="F231" i="23"/>
  <c r="C245" i="23"/>
  <c r="C172" i="23"/>
  <c r="C172" i="24"/>
  <c r="C225" i="23"/>
  <c r="C225" i="24"/>
  <c r="C122" i="23"/>
  <c r="J219" i="24"/>
  <c r="H164" i="24"/>
  <c r="H165" i="24" s="1"/>
  <c r="J246" i="24"/>
  <c r="G164" i="24"/>
  <c r="G165" i="24" s="1"/>
  <c r="F122" i="24"/>
  <c r="L122" i="24"/>
  <c r="E138" i="24"/>
  <c r="K219" i="24"/>
  <c r="D52" i="24"/>
  <c r="E227" i="23"/>
  <c r="E227" i="24"/>
  <c r="G225" i="23"/>
  <c r="G225" i="24"/>
  <c r="J224" i="24"/>
  <c r="I252" i="23"/>
  <c r="I253" i="23" s="1"/>
  <c r="I252" i="24"/>
  <c r="I253" i="24" s="1"/>
  <c r="I174" i="23"/>
  <c r="I174" i="24"/>
  <c r="H26" i="23"/>
  <c r="H45" i="23" s="1"/>
  <c r="H26" i="24"/>
  <c r="C249" i="23"/>
  <c r="C249" i="24"/>
  <c r="G173" i="23"/>
  <c r="E164" i="23"/>
  <c r="E165" i="23" s="1"/>
  <c r="K109" i="24"/>
  <c r="K108" i="24"/>
  <c r="I162" i="24"/>
  <c r="B209" i="24"/>
  <c r="B210" i="24" s="1"/>
  <c r="K164" i="24"/>
  <c r="K165" i="24" s="1"/>
  <c r="E138" i="23"/>
  <c r="G246" i="24"/>
  <c r="F164" i="24"/>
  <c r="F165" i="24" s="1"/>
  <c r="I246" i="24"/>
  <c r="C164" i="24"/>
  <c r="C165" i="24" s="1"/>
  <c r="H231" i="23"/>
  <c r="H231" i="24"/>
  <c r="E117" i="23"/>
  <c r="E117" i="24"/>
  <c r="E213" i="23"/>
  <c r="E214" i="23" s="1"/>
  <c r="E213" i="24"/>
  <c r="E214" i="24" s="1"/>
  <c r="D26" i="23"/>
  <c r="D26" i="24"/>
  <c r="G249" i="24"/>
  <c r="J244" i="23"/>
  <c r="J244" i="24"/>
  <c r="J161" i="23"/>
  <c r="J161" i="24"/>
  <c r="J170" i="23"/>
  <c r="J170" i="24"/>
  <c r="I241" i="24"/>
  <c r="I242" i="24" s="1"/>
  <c r="H160" i="23"/>
  <c r="H160" i="24"/>
  <c r="B117" i="23"/>
  <c r="B117" i="24"/>
  <c r="E170" i="24"/>
  <c r="E215" i="23"/>
  <c r="E216" i="23" s="1"/>
  <c r="E215" i="24"/>
  <c r="E216" i="24" s="1"/>
  <c r="F227" i="23"/>
  <c r="F227" i="24"/>
  <c r="F116" i="23"/>
  <c r="F116" i="24"/>
  <c r="C250" i="23"/>
  <c r="K215" i="23"/>
  <c r="K216" i="23" s="1"/>
  <c r="K215" i="24"/>
  <c r="K216" i="24" s="1"/>
  <c r="G156" i="24"/>
  <c r="G105" i="24"/>
  <c r="G102" i="24" s="1"/>
  <c r="G158" i="24"/>
  <c r="G54" i="24"/>
  <c r="G58" i="24"/>
  <c r="B154" i="24"/>
  <c r="C129" i="24"/>
  <c r="C126" i="24"/>
  <c r="L129" i="24"/>
  <c r="L126" i="24"/>
  <c r="H109" i="24"/>
  <c r="H108" i="24"/>
  <c r="G154" i="24"/>
  <c r="K138" i="24"/>
  <c r="E122" i="24"/>
  <c r="J158" i="24"/>
  <c r="J156" i="24"/>
  <c r="J54" i="24"/>
  <c r="J58" i="24"/>
  <c r="J105" i="24"/>
  <c r="J102" i="24" s="1"/>
  <c r="L168" i="24"/>
  <c r="E159" i="24"/>
  <c r="H162" i="24"/>
  <c r="J124" i="24"/>
  <c r="F117" i="23"/>
  <c r="F117" i="24"/>
  <c r="C241" i="23"/>
  <c r="C242" i="23" s="1"/>
  <c r="C230" i="23"/>
  <c r="C230" i="24"/>
  <c r="I209" i="23"/>
  <c r="I210" i="23" s="1"/>
  <c r="J232" i="24"/>
  <c r="J233" i="24" s="1"/>
  <c r="G52" i="24"/>
  <c r="I129" i="24"/>
  <c r="I126" i="24"/>
  <c r="L52" i="24"/>
  <c r="H156" i="24"/>
  <c r="H105" i="24"/>
  <c r="H102" i="24" s="1"/>
  <c r="H158" i="24"/>
  <c r="H54" i="24"/>
  <c r="H58" i="24"/>
  <c r="J52" i="24"/>
  <c r="E108" i="24"/>
  <c r="E109" i="24"/>
  <c r="J122" i="24"/>
  <c r="E129" i="24"/>
  <c r="E126" i="24"/>
  <c r="B126" i="24"/>
  <c r="J124" i="23"/>
  <c r="D170" i="23"/>
  <c r="D170" i="24"/>
  <c r="G250" i="23"/>
  <c r="G250" i="24"/>
  <c r="G174" i="23"/>
  <c r="J249" i="23"/>
  <c r="J249" i="24"/>
  <c r="J135" i="24"/>
  <c r="I227" i="23"/>
  <c r="I227" i="24"/>
  <c r="I243" i="23"/>
  <c r="I243" i="24"/>
  <c r="I211" i="23"/>
  <c r="I212" i="23" s="1"/>
  <c r="I211" i="24"/>
  <c r="I212" i="24" s="1"/>
  <c r="H243" i="23"/>
  <c r="H243" i="24"/>
  <c r="E244" i="23"/>
  <c r="E244" i="24"/>
  <c r="E135" i="23"/>
  <c r="E135" i="24"/>
  <c r="E217" i="23"/>
  <c r="E218" i="23" s="1"/>
  <c r="E217" i="24"/>
  <c r="E218" i="24" s="1"/>
  <c r="F228" i="23"/>
  <c r="F228" i="24"/>
  <c r="D241" i="23"/>
  <c r="D242" i="23" s="1"/>
  <c r="D241" i="24"/>
  <c r="D242" i="24" s="1"/>
  <c r="G241" i="23"/>
  <c r="G242" i="23" s="1"/>
  <c r="G241" i="24"/>
  <c r="G242" i="24" s="1"/>
  <c r="G230" i="23"/>
  <c r="G230" i="24"/>
  <c r="J250" i="23"/>
  <c r="J250" i="24"/>
  <c r="J230" i="23"/>
  <c r="J230" i="24"/>
  <c r="I228" i="23"/>
  <c r="I228" i="24"/>
  <c r="I213" i="23"/>
  <c r="I214" i="23" s="1"/>
  <c r="I213" i="24"/>
  <c r="I214" i="24" s="1"/>
  <c r="H161" i="23"/>
  <c r="H161" i="24"/>
  <c r="H213" i="23"/>
  <c r="H214" i="23" s="1"/>
  <c r="H213" i="24"/>
  <c r="H214" i="24" s="1"/>
  <c r="B230" i="23"/>
  <c r="B230" i="24"/>
  <c r="E245" i="23"/>
  <c r="E245" i="24"/>
  <c r="F170" i="23"/>
  <c r="F170" i="24"/>
  <c r="F213" i="23"/>
  <c r="F214" i="23" s="1"/>
  <c r="F213" i="24"/>
  <c r="F214" i="24" s="1"/>
  <c r="C160" i="23"/>
  <c r="C160" i="24"/>
  <c r="C252" i="23"/>
  <c r="C253" i="23" s="1"/>
  <c r="C252" i="24"/>
  <c r="C253" i="24" s="1"/>
  <c r="C243" i="23"/>
  <c r="C243" i="24"/>
  <c r="C231" i="23"/>
  <c r="C231" i="24"/>
  <c r="E162" i="24"/>
  <c r="G129" i="24"/>
  <c r="G126" i="24"/>
  <c r="L158" i="24"/>
  <c r="L156" i="24"/>
  <c r="L54" i="24"/>
  <c r="L58" i="24"/>
  <c r="L105" i="24"/>
  <c r="L102" i="24" s="1"/>
  <c r="E209" i="24"/>
  <c r="E210" i="24" s="1"/>
  <c r="F158" i="24"/>
  <c r="F156" i="24"/>
  <c r="F105" i="24"/>
  <c r="F102" i="24" s="1"/>
  <c r="F54" i="24"/>
  <c r="F58" i="24"/>
  <c r="K232" i="24"/>
  <c r="K233" i="24" s="1"/>
  <c r="H52" i="24"/>
  <c r="H138" i="24"/>
  <c r="C232" i="24"/>
  <c r="C233" i="24" s="1"/>
  <c r="C219" i="24"/>
  <c r="F52" i="24"/>
  <c r="K158" i="24"/>
  <c r="K156" i="24"/>
  <c r="K54" i="24"/>
  <c r="K105" i="24"/>
  <c r="K102" i="24" s="1"/>
  <c r="K58" i="24"/>
  <c r="F159" i="24"/>
  <c r="H159" i="24"/>
  <c r="F169" i="24"/>
  <c r="J164" i="24"/>
  <c r="J165" i="24" s="1"/>
  <c r="J209" i="24"/>
  <c r="J210" i="24" s="1"/>
  <c r="J168" i="24"/>
  <c r="B174" i="23"/>
  <c r="B174" i="24"/>
  <c r="G161" i="23"/>
  <c r="G161" i="24"/>
  <c r="D243" i="23"/>
  <c r="D243" i="24"/>
  <c r="G252" i="23"/>
  <c r="G253" i="23" s="1"/>
  <c r="G252" i="24"/>
  <c r="G253" i="24" s="1"/>
  <c r="G243" i="23"/>
  <c r="G243" i="24"/>
  <c r="J174" i="23"/>
  <c r="J174" i="24"/>
  <c r="I116" i="23"/>
  <c r="I116" i="24"/>
  <c r="I119" i="24" s="1"/>
  <c r="I215" i="23"/>
  <c r="I216" i="23" s="1"/>
  <c r="I215" i="24"/>
  <c r="I216" i="24" s="1"/>
  <c r="H250" i="23"/>
  <c r="H217" i="23"/>
  <c r="H218" i="23" s="1"/>
  <c r="H217" i="24"/>
  <c r="H218" i="24" s="1"/>
  <c r="E249" i="23"/>
  <c r="E249" i="24"/>
  <c r="E225" i="23"/>
  <c r="F244" i="23"/>
  <c r="F244" i="24"/>
  <c r="F26" i="23"/>
  <c r="F26" i="24"/>
  <c r="H122" i="24"/>
  <c r="C158" i="24"/>
  <c r="C58" i="24"/>
  <c r="C156" i="24"/>
  <c r="C54" i="24"/>
  <c r="E250" i="23"/>
  <c r="E250" i="24"/>
  <c r="F245" i="23"/>
  <c r="F245" i="24"/>
  <c r="F160" i="23"/>
  <c r="F160" i="24"/>
  <c r="F224" i="23"/>
  <c r="F224" i="24"/>
  <c r="F217" i="23"/>
  <c r="F218" i="23" s="1"/>
  <c r="F217" i="24"/>
  <c r="F218" i="24" s="1"/>
  <c r="C227" i="23"/>
  <c r="C227" i="24"/>
  <c r="F173" i="23"/>
  <c r="B107" i="24"/>
  <c r="B109" i="24" s="1"/>
  <c r="C52" i="24"/>
  <c r="D109" i="24"/>
  <c r="H209" i="24"/>
  <c r="H210" i="24" s="1"/>
  <c r="K52" i="24"/>
  <c r="K122" i="24"/>
  <c r="D164" i="24"/>
  <c r="D165" i="24" s="1"/>
  <c r="B124" i="24"/>
  <c r="K124" i="24"/>
  <c r="G122" i="24"/>
  <c r="H129" i="24"/>
  <c r="H126" i="24"/>
  <c r="F251" i="24"/>
  <c r="I109" i="24"/>
  <c r="I108" i="24"/>
  <c r="I222" i="24"/>
  <c r="I223" i="24" s="1"/>
  <c r="L222" i="24"/>
  <c r="L223" i="24" s="1"/>
  <c r="H222" i="24"/>
  <c r="H223" i="24" s="1"/>
  <c r="K222" i="24"/>
  <c r="K223" i="24" s="1"/>
  <c r="G222" i="9"/>
  <c r="G222" i="23"/>
  <c r="G223" i="23" s="1"/>
  <c r="I156" i="23"/>
  <c r="I158" i="23"/>
  <c r="I58" i="23"/>
  <c r="I105" i="23"/>
  <c r="I102" i="23" s="1"/>
  <c r="I54" i="23"/>
  <c r="J222" i="9"/>
  <c r="J222" i="23"/>
  <c r="J223" i="23" s="1"/>
  <c r="I52" i="23"/>
  <c r="J52" i="23"/>
  <c r="L52" i="23"/>
  <c r="F222" i="9"/>
  <c r="F222" i="23"/>
  <c r="F223" i="23" s="1"/>
  <c r="B158" i="23"/>
  <c r="B156" i="23"/>
  <c r="B54" i="23"/>
  <c r="G52" i="23"/>
  <c r="F52" i="23"/>
  <c r="E158" i="23"/>
  <c r="E156" i="23"/>
  <c r="E54" i="23"/>
  <c r="E58" i="23"/>
  <c r="E105" i="23"/>
  <c r="E102" i="23" s="1"/>
  <c r="L158" i="23"/>
  <c r="L105" i="23"/>
  <c r="L102" i="23" s="1"/>
  <c r="L156" i="23"/>
  <c r="L54" i="23"/>
  <c r="L58" i="23"/>
  <c r="G158" i="23"/>
  <c r="G156" i="23"/>
  <c r="G54" i="23"/>
  <c r="G58" i="23"/>
  <c r="G105" i="23"/>
  <c r="G102" i="23" s="1"/>
  <c r="C158" i="23"/>
  <c r="C156" i="23"/>
  <c r="C54" i="23"/>
  <c r="C58" i="23"/>
  <c r="F158" i="23"/>
  <c r="F156" i="23"/>
  <c r="F54" i="23"/>
  <c r="F58" i="23"/>
  <c r="F105" i="23"/>
  <c r="F102" i="23" s="1"/>
  <c r="E52" i="23"/>
  <c r="I109" i="23"/>
  <c r="J158" i="23"/>
  <c r="J58" i="23"/>
  <c r="J105" i="23"/>
  <c r="J102" i="23" s="1"/>
  <c r="J156" i="23"/>
  <c r="J54" i="23"/>
  <c r="C222" i="9"/>
  <c r="C222" i="23"/>
  <c r="C223" i="23" s="1"/>
  <c r="C52" i="23"/>
  <c r="H52" i="23"/>
  <c r="K158" i="23"/>
  <c r="K156" i="23"/>
  <c r="K58" i="23"/>
  <c r="K105" i="23"/>
  <c r="K102" i="23" s="1"/>
  <c r="K54" i="23"/>
  <c r="H156" i="23"/>
  <c r="H54" i="23"/>
  <c r="H158" i="23"/>
  <c r="H58" i="23"/>
  <c r="H105" i="23"/>
  <c r="H102" i="23" s="1"/>
  <c r="B107" i="23"/>
  <c r="K52" i="23"/>
  <c r="J109" i="23"/>
  <c r="D158" i="23"/>
  <c r="D156" i="23"/>
  <c r="D105" i="23"/>
  <c r="D102" i="23" s="1"/>
  <c r="D54" i="23"/>
  <c r="D58" i="23"/>
  <c r="D52" i="23"/>
  <c r="K109" i="23"/>
  <c r="B222" i="24"/>
  <c r="B223" i="24" s="1"/>
  <c r="I26" i="24"/>
  <c r="D222" i="24"/>
  <c r="D223" i="24" s="1"/>
  <c r="J26" i="9"/>
  <c r="J45" i="9" s="1"/>
  <c r="J62" i="9" s="1"/>
  <c r="D26" i="9"/>
  <c r="D45" i="9" s="1"/>
  <c r="H26" i="9"/>
  <c r="H45" i="9" s="1"/>
  <c r="C26" i="9"/>
  <c r="C45" i="9" s="1"/>
  <c r="C62" i="9" s="1"/>
  <c r="G26" i="9"/>
  <c r="G45" i="9" s="1"/>
  <c r="F26" i="9"/>
  <c r="D75" i="9"/>
  <c r="G75" i="9"/>
  <c r="H75" i="9"/>
  <c r="I75" i="9"/>
  <c r="J75" i="9"/>
  <c r="L75" i="9"/>
  <c r="E75" i="9"/>
  <c r="L26" i="9"/>
  <c r="M26" i="9" s="1"/>
  <c r="L168" i="9"/>
  <c r="C52" i="9"/>
  <c r="J52" i="9"/>
  <c r="F52" i="9"/>
  <c r="L52" i="9"/>
  <c r="D52" i="9"/>
  <c r="G52" i="9"/>
  <c r="I52" i="9"/>
  <c r="E52" i="9"/>
  <c r="H52" i="9"/>
  <c r="K52" i="9"/>
  <c r="E26" i="24" l="1"/>
  <c r="D246" i="23"/>
  <c r="C245" i="24"/>
  <c r="H250" i="24"/>
  <c r="C241" i="24"/>
  <c r="C242" i="24" s="1"/>
  <c r="I241" i="23"/>
  <c r="I242" i="23" s="1"/>
  <c r="J117" i="23"/>
  <c r="E26" i="23"/>
  <c r="H117" i="24"/>
  <c r="G222" i="24"/>
  <c r="G223" i="24" s="1"/>
  <c r="F230" i="23"/>
  <c r="H154" i="23"/>
  <c r="C224" i="23"/>
  <c r="C219" i="23"/>
  <c r="C235" i="23" s="1"/>
  <c r="F112" i="23"/>
  <c r="K244" i="24"/>
  <c r="C116" i="24"/>
  <c r="E170" i="23"/>
  <c r="K169" i="24"/>
  <c r="G244" i="23"/>
  <c r="K231" i="24"/>
  <c r="H245" i="23"/>
  <c r="F232" i="23"/>
  <c r="F233" i="23" s="1"/>
  <c r="K213" i="24"/>
  <c r="K214" i="24" s="1"/>
  <c r="K231" i="23"/>
  <c r="F250" i="24"/>
  <c r="I225" i="24"/>
  <c r="I166" i="23"/>
  <c r="J154" i="23"/>
  <c r="K26" i="23"/>
  <c r="F169" i="23"/>
  <c r="K213" i="23"/>
  <c r="K214" i="23" s="1"/>
  <c r="G167" i="24"/>
  <c r="G219" i="24"/>
  <c r="C251" i="24"/>
  <c r="F250" i="23"/>
  <c r="G135" i="24"/>
  <c r="I225" i="23"/>
  <c r="D246" i="24"/>
  <c r="E169" i="24"/>
  <c r="F225" i="24"/>
  <c r="E219" i="23"/>
  <c r="D230" i="23"/>
  <c r="E243" i="23"/>
  <c r="H167" i="23"/>
  <c r="G169" i="23"/>
  <c r="J224" i="23"/>
  <c r="E172" i="24"/>
  <c r="C174" i="24"/>
  <c r="C169" i="23"/>
  <c r="E172" i="23"/>
  <c r="J135" i="23"/>
  <c r="C174" i="23"/>
  <c r="H241" i="24"/>
  <c r="H242" i="24" s="1"/>
  <c r="G135" i="23"/>
  <c r="F209" i="24"/>
  <c r="F210" i="24" s="1"/>
  <c r="C154" i="23"/>
  <c r="E167" i="23"/>
  <c r="E26" i="9"/>
  <c r="E45" i="9" s="1"/>
  <c r="G231" i="24"/>
  <c r="J154" i="24"/>
  <c r="H241" i="23"/>
  <c r="H242" i="23" s="1"/>
  <c r="E219" i="24"/>
  <c r="E246" i="24"/>
  <c r="K117" i="24"/>
  <c r="F172" i="24"/>
  <c r="G232" i="23"/>
  <c r="G233" i="23" s="1"/>
  <c r="C246" i="23"/>
  <c r="F235" i="23"/>
  <c r="I166" i="24"/>
  <c r="J160" i="24"/>
  <c r="K117" i="23"/>
  <c r="H244" i="24"/>
  <c r="F172" i="23"/>
  <c r="H117" i="23"/>
  <c r="H119" i="23" s="1"/>
  <c r="C169" i="24"/>
  <c r="G235" i="23"/>
  <c r="G236" i="23" s="1"/>
  <c r="G231" i="23"/>
  <c r="E246" i="23"/>
  <c r="G232" i="24"/>
  <c r="G233" i="24" s="1"/>
  <c r="J160" i="23"/>
  <c r="E243" i="24"/>
  <c r="H154" i="24"/>
  <c r="H244" i="23"/>
  <c r="B160" i="24"/>
  <c r="C222" i="24"/>
  <c r="C223" i="24" s="1"/>
  <c r="G110" i="23"/>
  <c r="F209" i="23"/>
  <c r="F210" i="23" s="1"/>
  <c r="E222" i="24"/>
  <c r="E223" i="24" s="1"/>
  <c r="C164" i="23"/>
  <c r="C165" i="23" s="1"/>
  <c r="G213" i="24"/>
  <c r="G214" i="24" s="1"/>
  <c r="K169" i="23"/>
  <c r="E173" i="23"/>
  <c r="I162" i="23"/>
  <c r="L110" i="23"/>
  <c r="E235" i="23"/>
  <c r="J236" i="23"/>
  <c r="G112" i="23"/>
  <c r="J136" i="24"/>
  <c r="C107" i="23"/>
  <c r="C109" i="23" s="1"/>
  <c r="H167" i="24"/>
  <c r="G116" i="23"/>
  <c r="E252" i="24"/>
  <c r="E253" i="24" s="1"/>
  <c r="E154" i="24"/>
  <c r="J213" i="24"/>
  <c r="J214" i="24" s="1"/>
  <c r="L224" i="24"/>
  <c r="C209" i="24"/>
  <c r="C210" i="24" s="1"/>
  <c r="C209" i="23"/>
  <c r="C210" i="23" s="1"/>
  <c r="J166" i="24"/>
  <c r="C167" i="24"/>
  <c r="I154" i="24"/>
  <c r="G172" i="24"/>
  <c r="K26" i="9"/>
  <c r="K45" i="9" s="1"/>
  <c r="K88" i="9" s="1"/>
  <c r="E222" i="23"/>
  <c r="E223" i="23" s="1"/>
  <c r="E222" i="9"/>
  <c r="J245" i="24"/>
  <c r="E161" i="24"/>
  <c r="D230" i="24"/>
  <c r="K166" i="24"/>
  <c r="H110" i="23"/>
  <c r="F246" i="24"/>
  <c r="C246" i="24"/>
  <c r="G168" i="24"/>
  <c r="G112" i="24" s="1"/>
  <c r="C224" i="24"/>
  <c r="H251" i="24"/>
  <c r="H252" i="24"/>
  <c r="H253" i="24" s="1"/>
  <c r="G251" i="24"/>
  <c r="G166" i="24"/>
  <c r="E224" i="24"/>
  <c r="K26" i="24"/>
  <c r="K45" i="24" s="1"/>
  <c r="K55" i="24" s="1"/>
  <c r="I251" i="24"/>
  <c r="C244" i="24"/>
  <c r="H173" i="24"/>
  <c r="E231" i="24"/>
  <c r="C168" i="24"/>
  <c r="C107" i="24"/>
  <c r="C105" i="24" s="1"/>
  <c r="C102" i="24" s="1"/>
  <c r="D103" i="24" s="1"/>
  <c r="H246" i="24"/>
  <c r="C166" i="24"/>
  <c r="E235" i="24"/>
  <c r="E236" i="24" s="1"/>
  <c r="G27" i="23"/>
  <c r="M223" i="24"/>
  <c r="N223" i="24" s="1"/>
  <c r="O223" i="24" s="1"/>
  <c r="P223" i="24" s="1"/>
  <c r="Q223" i="24" s="1"/>
  <c r="G119" i="24"/>
  <c r="I161" i="24"/>
  <c r="E174" i="23"/>
  <c r="D224" i="23"/>
  <c r="F230" i="24"/>
  <c r="J215" i="24"/>
  <c r="J216" i="24" s="1"/>
  <c r="F174" i="24"/>
  <c r="E110" i="23"/>
  <c r="E230" i="24"/>
  <c r="H119" i="24"/>
  <c r="K27" i="23"/>
  <c r="H136" i="23"/>
  <c r="J119" i="24"/>
  <c r="K45" i="23"/>
  <c r="K48" i="23" s="1"/>
  <c r="K49" i="23" s="1"/>
  <c r="G136" i="23"/>
  <c r="J136" i="23"/>
  <c r="H110" i="24"/>
  <c r="D27" i="23"/>
  <c r="I119" i="23"/>
  <c r="H27" i="23"/>
  <c r="D45" i="23"/>
  <c r="D48" i="23" s="1"/>
  <c r="D49" i="23" s="1"/>
  <c r="H103" i="24"/>
  <c r="B236" i="23"/>
  <c r="F45" i="23"/>
  <c r="F48" i="23" s="1"/>
  <c r="F49" i="23" s="1"/>
  <c r="F27" i="23"/>
  <c r="F236" i="23"/>
  <c r="K103" i="24"/>
  <c r="E236" i="23"/>
  <c r="J103" i="24"/>
  <c r="E45" i="23"/>
  <c r="E48" i="23" s="1"/>
  <c r="E49" i="23" s="1"/>
  <c r="E27" i="23"/>
  <c r="F103" i="24"/>
  <c r="C235" i="24"/>
  <c r="C236" i="24" s="1"/>
  <c r="I110" i="24"/>
  <c r="K110" i="24"/>
  <c r="I110" i="23"/>
  <c r="G136" i="24"/>
  <c r="F103" i="23"/>
  <c r="F112" i="24"/>
  <c r="B105" i="24"/>
  <c r="I136" i="23"/>
  <c r="F119" i="24"/>
  <c r="J112" i="24"/>
  <c r="J235" i="24"/>
  <c r="J236" i="24" s="1"/>
  <c r="E119" i="24"/>
  <c r="C236" i="23"/>
  <c r="E119" i="23"/>
  <c r="I103" i="23"/>
  <c r="D154" i="23"/>
  <c r="D154" i="24"/>
  <c r="L252" i="23"/>
  <c r="L253" i="23" s="1"/>
  <c r="L252" i="24"/>
  <c r="L253" i="24" s="1"/>
  <c r="D227" i="23"/>
  <c r="D227" i="24"/>
  <c r="D219" i="23"/>
  <c r="D219" i="24"/>
  <c r="L154" i="23"/>
  <c r="L154" i="24"/>
  <c r="D172" i="23"/>
  <c r="D172" i="24"/>
  <c r="D250" i="23"/>
  <c r="D250" i="24"/>
  <c r="D232" i="23"/>
  <c r="D233" i="23" s="1"/>
  <c r="D232" i="24"/>
  <c r="D233" i="24" s="1"/>
  <c r="J173" i="23"/>
  <c r="J173" i="24"/>
  <c r="I245" i="23"/>
  <c r="I245" i="24"/>
  <c r="B249" i="23"/>
  <c r="B249" i="24"/>
  <c r="B244" i="23"/>
  <c r="B244" i="24"/>
  <c r="B159" i="23"/>
  <c r="B159" i="24"/>
  <c r="L135" i="23"/>
  <c r="M136" i="23" s="1"/>
  <c r="L135" i="24"/>
  <c r="B164" i="23"/>
  <c r="B165" i="23" s="1"/>
  <c r="B164" i="24"/>
  <c r="B165" i="24" s="1"/>
  <c r="K246" i="23"/>
  <c r="K246" i="24"/>
  <c r="B225" i="23"/>
  <c r="B225" i="24"/>
  <c r="B135" i="23"/>
  <c r="C136" i="23" s="1"/>
  <c r="B135" i="24"/>
  <c r="C136" i="24" s="1"/>
  <c r="B170" i="23"/>
  <c r="B170" i="24"/>
  <c r="H168" i="23"/>
  <c r="H168" i="24"/>
  <c r="D167" i="23"/>
  <c r="D167" i="24"/>
  <c r="D160" i="23"/>
  <c r="D160" i="24"/>
  <c r="D169" i="23"/>
  <c r="D169" i="24"/>
  <c r="I170" i="23"/>
  <c r="I170" i="24"/>
  <c r="D231" i="23"/>
  <c r="D231" i="24"/>
  <c r="K251" i="23"/>
  <c r="K251" i="24"/>
  <c r="L117" i="23"/>
  <c r="L117" i="24"/>
  <c r="K167" i="23"/>
  <c r="K167" i="24"/>
  <c r="H211" i="23"/>
  <c r="H212" i="23" s="1"/>
  <c r="H211" i="24"/>
  <c r="H212" i="24" s="1"/>
  <c r="L213" i="23"/>
  <c r="L214" i="23" s="1"/>
  <c r="L213" i="24"/>
  <c r="L214" i="24" s="1"/>
  <c r="B114" i="23"/>
  <c r="B114" i="24"/>
  <c r="L249" i="23"/>
  <c r="L249" i="24"/>
  <c r="B243" i="23"/>
  <c r="B243" i="24"/>
  <c r="B250" i="23"/>
  <c r="B250" i="24"/>
  <c r="C109" i="24"/>
  <c r="C110" i="24" s="1"/>
  <c r="L230" i="23"/>
  <c r="L230" i="24"/>
  <c r="K224" i="23"/>
  <c r="K224" i="24"/>
  <c r="B167" i="23"/>
  <c r="B167" i="24"/>
  <c r="D116" i="23"/>
  <c r="D116" i="24"/>
  <c r="D244" i="23"/>
  <c r="D244" i="24"/>
  <c r="L26" i="23"/>
  <c r="L45" i="23" s="1"/>
  <c r="L55" i="23" s="1"/>
  <c r="L26" i="24"/>
  <c r="H219" i="23"/>
  <c r="H219" i="24"/>
  <c r="K225" i="23"/>
  <c r="K225" i="24"/>
  <c r="L160" i="23"/>
  <c r="L160" i="24"/>
  <c r="L159" i="23"/>
  <c r="L159" i="24"/>
  <c r="L243" i="23"/>
  <c r="L243" i="24"/>
  <c r="E110" i="24"/>
  <c r="K235" i="24"/>
  <c r="I136" i="24"/>
  <c r="J27" i="24"/>
  <c r="J45" i="24"/>
  <c r="J55" i="24" s="1"/>
  <c r="J110" i="24"/>
  <c r="L170" i="23"/>
  <c r="L170" i="24"/>
  <c r="B172" i="23"/>
  <c r="B172" i="24"/>
  <c r="K159" i="23"/>
  <c r="K159" i="24"/>
  <c r="H136" i="24"/>
  <c r="D168" i="23"/>
  <c r="D168" i="24"/>
  <c r="I27" i="24"/>
  <c r="I45" i="24"/>
  <c r="I55" i="24" s="1"/>
  <c r="K228" i="23"/>
  <c r="K228" i="24"/>
  <c r="K173" i="23"/>
  <c r="K173" i="24"/>
  <c r="K249" i="23"/>
  <c r="K249" i="24"/>
  <c r="K135" i="23"/>
  <c r="K136" i="23" s="1"/>
  <c r="K135" i="24"/>
  <c r="K136" i="24" s="1"/>
  <c r="B213" i="23"/>
  <c r="B214" i="23" s="1"/>
  <c r="B213" i="24"/>
  <c r="B214" i="24" s="1"/>
  <c r="L246" i="23"/>
  <c r="L246" i="24"/>
  <c r="B231" i="23"/>
  <c r="B231" i="24"/>
  <c r="B224" i="23"/>
  <c r="B224" i="24"/>
  <c r="L211" i="23"/>
  <c r="L212" i="23" s="1"/>
  <c r="L211" i="24"/>
  <c r="L212" i="24" s="1"/>
  <c r="K250" i="23"/>
  <c r="K250" i="24"/>
  <c r="G235" i="24"/>
  <c r="G236" i="24" s="1"/>
  <c r="F110" i="24"/>
  <c r="E27" i="24"/>
  <c r="E45" i="24"/>
  <c r="E55" i="24" s="1"/>
  <c r="G119" i="23"/>
  <c r="D162" i="23"/>
  <c r="D162" i="24"/>
  <c r="L209" i="23"/>
  <c r="L210" i="23" s="1"/>
  <c r="L209" i="24"/>
  <c r="L210" i="24" s="1"/>
  <c r="L167" i="23"/>
  <c r="M167" i="23" s="1"/>
  <c r="L167" i="24"/>
  <c r="K209" i="23"/>
  <c r="K210" i="23" s="1"/>
  <c r="K209" i="24"/>
  <c r="K210" i="24" s="1"/>
  <c r="F119" i="23"/>
  <c r="C119" i="24"/>
  <c r="C45" i="24"/>
  <c r="C55" i="24" s="1"/>
  <c r="F136" i="24"/>
  <c r="F162" i="23"/>
  <c r="F162" i="24"/>
  <c r="K162" i="23"/>
  <c r="K162" i="24"/>
  <c r="H232" i="23"/>
  <c r="H233" i="23" s="1"/>
  <c r="H232" i="24"/>
  <c r="H233" i="24" s="1"/>
  <c r="H169" i="23"/>
  <c r="H169" i="24"/>
  <c r="F27" i="24"/>
  <c r="F45" i="24"/>
  <c r="F55" i="24" s="1"/>
  <c r="M103" i="24"/>
  <c r="L103" i="24"/>
  <c r="D45" i="24"/>
  <c r="D55" i="24" s="1"/>
  <c r="D27" i="24"/>
  <c r="F136" i="23"/>
  <c r="G110" i="24"/>
  <c r="D217" i="23"/>
  <c r="D218" i="23" s="1"/>
  <c r="D217" i="24"/>
  <c r="D218" i="24" s="1"/>
  <c r="B26" i="23"/>
  <c r="B26" i="24"/>
  <c r="B45" i="24" s="1"/>
  <c r="K116" i="23"/>
  <c r="K119" i="23" s="1"/>
  <c r="K116" i="24"/>
  <c r="K119" i="24" s="1"/>
  <c r="B116" i="23"/>
  <c r="B116" i="24"/>
  <c r="L164" i="23"/>
  <c r="L165" i="23" s="1"/>
  <c r="L164" i="24"/>
  <c r="L165" i="24" s="1"/>
  <c r="K154" i="23"/>
  <c r="K154" i="24"/>
  <c r="L174" i="23"/>
  <c r="L174" i="24"/>
  <c r="B245" i="23"/>
  <c r="B245" i="24"/>
  <c r="K241" i="23"/>
  <c r="K242" i="23" s="1"/>
  <c r="K241" i="24"/>
  <c r="K242" i="24" s="1"/>
  <c r="L227" i="23"/>
  <c r="L227" i="24"/>
  <c r="D215" i="23"/>
  <c r="D216" i="23" s="1"/>
  <c r="D215" i="24"/>
  <c r="D216" i="24" s="1"/>
  <c r="D245" i="23"/>
  <c r="D245" i="24"/>
  <c r="D249" i="23"/>
  <c r="D249" i="24"/>
  <c r="J225" i="23"/>
  <c r="J225" i="24"/>
  <c r="L169" i="23"/>
  <c r="L169" i="24"/>
  <c r="J110" i="23"/>
  <c r="K230" i="23"/>
  <c r="K230" i="24"/>
  <c r="I169" i="23"/>
  <c r="I169" i="24"/>
  <c r="B251" i="23"/>
  <c r="B251" i="24"/>
  <c r="K243" i="23"/>
  <c r="K243" i="24"/>
  <c r="E251" i="23"/>
  <c r="E251" i="24"/>
  <c r="K252" i="23"/>
  <c r="K253" i="23" s="1"/>
  <c r="K252" i="24"/>
  <c r="K253" i="24" s="1"/>
  <c r="I230" i="23"/>
  <c r="I230" i="24"/>
  <c r="G103" i="24"/>
  <c r="L231" i="23"/>
  <c r="L231" i="24"/>
  <c r="L161" i="23"/>
  <c r="L161" i="24"/>
  <c r="D225" i="23"/>
  <c r="D225" i="24"/>
  <c r="L245" i="23"/>
  <c r="L245" i="24"/>
  <c r="M245" i="24" s="1"/>
  <c r="N245" i="24" s="1"/>
  <c r="O245" i="24" s="1"/>
  <c r="P245" i="24" s="1"/>
  <c r="Q245" i="24" s="1"/>
  <c r="L166" i="23"/>
  <c r="L166" i="24"/>
  <c r="I159" i="23"/>
  <c r="I159" i="24"/>
  <c r="K211" i="23"/>
  <c r="K212" i="23" s="1"/>
  <c r="K211" i="24"/>
  <c r="K212" i="24" s="1"/>
  <c r="B168" i="23"/>
  <c r="B168" i="24"/>
  <c r="E103" i="24"/>
  <c r="L215" i="23"/>
  <c r="L216" i="23" s="1"/>
  <c r="L215" i="24"/>
  <c r="L216" i="24" s="1"/>
  <c r="D228" i="23"/>
  <c r="D228" i="24"/>
  <c r="J243" i="23"/>
  <c r="J243" i="24"/>
  <c r="D166" i="23"/>
  <c r="D166" i="24"/>
  <c r="J231" i="23"/>
  <c r="J231" i="24"/>
  <c r="K172" i="23"/>
  <c r="K172" i="24"/>
  <c r="D252" i="23"/>
  <c r="D253" i="23" s="1"/>
  <c r="D252" i="24"/>
  <c r="D253" i="24" s="1"/>
  <c r="D159" i="23"/>
  <c r="D159" i="24"/>
  <c r="D117" i="23"/>
  <c r="D117" i="24"/>
  <c r="L116" i="23"/>
  <c r="L116" i="24"/>
  <c r="L241" i="23"/>
  <c r="L242" i="23" s="1"/>
  <c r="L241" i="24"/>
  <c r="L242" i="24" s="1"/>
  <c r="H166" i="23"/>
  <c r="H166" i="24"/>
  <c r="H249" i="23"/>
  <c r="H249" i="24"/>
  <c r="B169" i="23"/>
  <c r="B169" i="24"/>
  <c r="H172" i="23"/>
  <c r="H172" i="24"/>
  <c r="L251" i="23"/>
  <c r="L251" i="24"/>
  <c r="K217" i="23"/>
  <c r="K218" i="23" s="1"/>
  <c r="M218" i="23" s="1"/>
  <c r="N218" i="23" s="1"/>
  <c r="O218" i="23" s="1"/>
  <c r="P218" i="23" s="1"/>
  <c r="Q218" i="23" s="1"/>
  <c r="K217" i="24"/>
  <c r="K218" i="24" s="1"/>
  <c r="M218" i="24" s="1"/>
  <c r="N218" i="24" s="1"/>
  <c r="O218" i="24" s="1"/>
  <c r="P218" i="24" s="1"/>
  <c r="Q218" i="24" s="1"/>
  <c r="B252" i="23"/>
  <c r="B253" i="23" s="1"/>
  <c r="B252" i="24"/>
  <c r="B253" i="24" s="1"/>
  <c r="G27" i="24"/>
  <c r="G45" i="24"/>
  <c r="G55" i="24" s="1"/>
  <c r="J119" i="23"/>
  <c r="I103" i="24"/>
  <c r="H174" i="23"/>
  <c r="H174" i="24"/>
  <c r="K174" i="23"/>
  <c r="K174" i="24"/>
  <c r="D209" i="23"/>
  <c r="D210" i="23" s="1"/>
  <c r="D209" i="24"/>
  <c r="D210" i="24" s="1"/>
  <c r="D251" i="23"/>
  <c r="D251" i="24"/>
  <c r="D213" i="23"/>
  <c r="D214" i="23" s="1"/>
  <c r="D213" i="24"/>
  <c r="D214" i="24" s="1"/>
  <c r="L225" i="23"/>
  <c r="L225" i="24"/>
  <c r="L228" i="23"/>
  <c r="L228" i="24"/>
  <c r="K227" i="23"/>
  <c r="K227" i="24"/>
  <c r="K168" i="23"/>
  <c r="K168" i="24"/>
  <c r="K161" i="23"/>
  <c r="K161" i="24"/>
  <c r="B227" i="23"/>
  <c r="B227" i="24"/>
  <c r="H225" i="23"/>
  <c r="H225" i="24"/>
  <c r="H215" i="23"/>
  <c r="H216" i="23" s="1"/>
  <c r="H215" i="24"/>
  <c r="H216" i="24" s="1"/>
  <c r="H27" i="24"/>
  <c r="H45" i="24"/>
  <c r="H55" i="24" s="1"/>
  <c r="L110" i="24"/>
  <c r="B161" i="23"/>
  <c r="B161" i="24"/>
  <c r="D174" i="23"/>
  <c r="D174" i="24"/>
  <c r="D173" i="23"/>
  <c r="D173" i="24"/>
  <c r="D211" i="23"/>
  <c r="D212" i="23" s="1"/>
  <c r="D211" i="24"/>
  <c r="D212" i="24" s="1"/>
  <c r="I244" i="23"/>
  <c r="I244" i="24"/>
  <c r="J172" i="23"/>
  <c r="J172" i="24"/>
  <c r="D161" i="23"/>
  <c r="D161" i="24"/>
  <c r="D135" i="23"/>
  <c r="D136" i="23" s="1"/>
  <c r="D135" i="24"/>
  <c r="D136" i="24" s="1"/>
  <c r="F211" i="23"/>
  <c r="F212" i="23" s="1"/>
  <c r="F211" i="24"/>
  <c r="F212" i="24" s="1"/>
  <c r="I232" i="23"/>
  <c r="I233" i="23" s="1"/>
  <c r="I232" i="24"/>
  <c r="I233" i="24" s="1"/>
  <c r="L172" i="23"/>
  <c r="L172" i="24"/>
  <c r="H228" i="23"/>
  <c r="H228" i="24"/>
  <c r="B217" i="23"/>
  <c r="B218" i="23" s="1"/>
  <c r="B217" i="24"/>
  <c r="B218" i="24" s="1"/>
  <c r="L232" i="23"/>
  <c r="L232" i="24"/>
  <c r="L233" i="24" s="1"/>
  <c r="K160" i="23"/>
  <c r="K160" i="24"/>
  <c r="B211" i="23"/>
  <c r="B212" i="23" s="1"/>
  <c r="B211" i="24"/>
  <c r="B212" i="24" s="1"/>
  <c r="B228" i="23"/>
  <c r="B228" i="24"/>
  <c r="K170" i="23"/>
  <c r="K170" i="24"/>
  <c r="B236" i="24"/>
  <c r="F235" i="24"/>
  <c r="F236" i="24" s="1"/>
  <c r="J103" i="23"/>
  <c r="M26" i="23"/>
  <c r="M103" i="23"/>
  <c r="L103" i="23"/>
  <c r="I26" i="9"/>
  <c r="I45" i="9" s="1"/>
  <c r="I88" i="9" s="1"/>
  <c r="I26" i="23"/>
  <c r="H55" i="23"/>
  <c r="G103" i="23"/>
  <c r="I222" i="9"/>
  <c r="I222" i="23"/>
  <c r="I223" i="23" s="1"/>
  <c r="G55" i="23"/>
  <c r="F62" i="23"/>
  <c r="F80" i="23"/>
  <c r="C80" i="23"/>
  <c r="C88" i="23"/>
  <c r="C62" i="23"/>
  <c r="C72" i="23"/>
  <c r="H222" i="9"/>
  <c r="H222" i="23"/>
  <c r="H223" i="23" s="1"/>
  <c r="K103" i="23"/>
  <c r="E103" i="23"/>
  <c r="K222" i="9"/>
  <c r="K222" i="23"/>
  <c r="K223" i="23" s="1"/>
  <c r="B222" i="9"/>
  <c r="B222" i="23"/>
  <c r="B223" i="23" s="1"/>
  <c r="H46" i="23"/>
  <c r="H72" i="23"/>
  <c r="H62" i="23"/>
  <c r="H80" i="23"/>
  <c r="H88" i="23"/>
  <c r="D222" i="9"/>
  <c r="D222" i="23"/>
  <c r="D223" i="23" s="1"/>
  <c r="L222" i="9"/>
  <c r="L222" i="23"/>
  <c r="L223" i="23" s="1"/>
  <c r="J55" i="23"/>
  <c r="C108" i="23"/>
  <c r="D108" i="23"/>
  <c r="C119" i="23"/>
  <c r="H48" i="23"/>
  <c r="H49" i="23" s="1"/>
  <c r="B109" i="23"/>
  <c r="C55" i="23"/>
  <c r="B105" i="23"/>
  <c r="J72" i="23"/>
  <c r="J62" i="23"/>
  <c r="J80" i="23"/>
  <c r="J88" i="23"/>
  <c r="G46" i="23"/>
  <c r="G72" i="23"/>
  <c r="G62" i="23"/>
  <c r="G80" i="23"/>
  <c r="G88" i="23"/>
  <c r="K110" i="23"/>
  <c r="H103" i="23"/>
  <c r="C105" i="23"/>
  <c r="C102" i="23" s="1"/>
  <c r="D103" i="23" s="1"/>
  <c r="B80" i="9"/>
  <c r="E27" i="9"/>
  <c r="B48" i="9"/>
  <c r="B49" i="9" s="1"/>
  <c r="B72" i="9"/>
  <c r="F27" i="9"/>
  <c r="H27" i="9"/>
  <c r="G27" i="9"/>
  <c r="C27" i="9"/>
  <c r="J88" i="9"/>
  <c r="J80" i="9"/>
  <c r="K27" i="9"/>
  <c r="B62" i="9"/>
  <c r="J72" i="9"/>
  <c r="D27" i="9"/>
  <c r="F45" i="9"/>
  <c r="G46" i="9" s="1"/>
  <c r="E80" i="9"/>
  <c r="E88" i="9"/>
  <c r="G80" i="9"/>
  <c r="G88" i="9"/>
  <c r="H80" i="9"/>
  <c r="H88" i="9"/>
  <c r="D80" i="9"/>
  <c r="D88" i="9"/>
  <c r="C80" i="9"/>
  <c r="C88" i="9"/>
  <c r="K72" i="9"/>
  <c r="K80" i="9"/>
  <c r="D62" i="9"/>
  <c r="D72" i="9"/>
  <c r="C72" i="9"/>
  <c r="E62" i="9"/>
  <c r="E72" i="9"/>
  <c r="H62" i="9"/>
  <c r="H72" i="9"/>
  <c r="G62" i="9"/>
  <c r="G72" i="9"/>
  <c r="F75" i="9"/>
  <c r="K62" i="9"/>
  <c r="K75" i="9"/>
  <c r="C46" i="9"/>
  <c r="C65" i="9"/>
  <c r="G48" i="9"/>
  <c r="G49" i="9" s="1"/>
  <c r="L27" i="9"/>
  <c r="L45" i="9"/>
  <c r="N26" i="9"/>
  <c r="J48" i="9"/>
  <c r="J49" i="9" s="1"/>
  <c r="D48" i="9"/>
  <c r="D49" i="9" s="1"/>
  <c r="D46" i="9"/>
  <c r="K48" i="9"/>
  <c r="K49" i="9" s="1"/>
  <c r="C48" i="9"/>
  <c r="C49" i="9" s="1"/>
  <c r="K46" i="9"/>
  <c r="H48" i="9"/>
  <c r="H49" i="9" s="1"/>
  <c r="E48" i="9"/>
  <c r="E49" i="9" s="1"/>
  <c r="E46" i="9"/>
  <c r="H46" i="9"/>
  <c r="B246" i="9"/>
  <c r="J168" i="9"/>
  <c r="J211" i="9"/>
  <c r="I230" i="9"/>
  <c r="G166" i="9"/>
  <c r="J167" i="9"/>
  <c r="G228" i="9"/>
  <c r="G164" i="9"/>
  <c r="L173" i="9"/>
  <c r="G227" i="9"/>
  <c r="I173" i="9"/>
  <c r="G162" i="9"/>
  <c r="D169" i="9"/>
  <c r="F230" i="9"/>
  <c r="K164" i="9"/>
  <c r="C232" i="9"/>
  <c r="B57" i="9"/>
  <c r="B105" i="9" s="1"/>
  <c r="C228" i="9"/>
  <c r="E227" i="9"/>
  <c r="H164" i="9"/>
  <c r="I166" i="9"/>
  <c r="L246" i="9"/>
  <c r="K121" i="9"/>
  <c r="G231" i="9"/>
  <c r="D137" i="9"/>
  <c r="I154" i="9"/>
  <c r="K224" i="9"/>
  <c r="H162" i="9"/>
  <c r="I128" i="9"/>
  <c r="K57" i="9"/>
  <c r="B232" i="9"/>
  <c r="J230" i="9"/>
  <c r="K219" i="9"/>
  <c r="H121" i="9"/>
  <c r="J128" i="9"/>
  <c r="E251" i="9"/>
  <c r="I251" i="9"/>
  <c r="J246" i="9"/>
  <c r="F114" i="9"/>
  <c r="G225" i="9"/>
  <c r="D246" i="9"/>
  <c r="I121" i="9"/>
  <c r="L137" i="9"/>
  <c r="D166" i="9"/>
  <c r="B137" i="9"/>
  <c r="I224" i="9"/>
  <c r="K231" i="9"/>
  <c r="G224" i="9"/>
  <c r="H57" i="9"/>
  <c r="J232" i="9"/>
  <c r="C246" i="9"/>
  <c r="H228" i="9"/>
  <c r="B230" i="9"/>
  <c r="F219" i="9"/>
  <c r="H227" i="9"/>
  <c r="C169" i="9"/>
  <c r="F159" i="9"/>
  <c r="H169" i="9"/>
  <c r="E211" i="9"/>
  <c r="D123" i="9"/>
  <c r="I164" i="9"/>
  <c r="K251" i="9"/>
  <c r="B228" i="9"/>
  <c r="J137" i="9"/>
  <c r="K211" i="9"/>
  <c r="B227" i="9"/>
  <c r="J162" i="9"/>
  <c r="F231" i="9"/>
  <c r="K246" i="9"/>
  <c r="G154" i="9"/>
  <c r="I225" i="9"/>
  <c r="F123" i="9"/>
  <c r="G57" i="9"/>
  <c r="H230" i="9"/>
  <c r="D228" i="9"/>
  <c r="D107" i="9"/>
  <c r="D227" i="9"/>
  <c r="F169" i="9"/>
  <c r="E128" i="9"/>
  <c r="B251" i="9"/>
  <c r="L228" i="9"/>
  <c r="K232" i="9"/>
  <c r="H251" i="9"/>
  <c r="L123" i="9"/>
  <c r="F57" i="9"/>
  <c r="F232" i="9"/>
  <c r="C57" i="9"/>
  <c r="C121" i="9"/>
  <c r="G251" i="9"/>
  <c r="H114" i="9"/>
  <c r="H211" i="9"/>
  <c r="B114" i="9"/>
  <c r="I159" i="9"/>
  <c r="J251" i="9"/>
  <c r="J159" i="9"/>
  <c r="L225" i="9"/>
  <c r="F154" i="9"/>
  <c r="F166" i="9"/>
  <c r="K173" i="9"/>
  <c r="K162" i="9"/>
  <c r="C227" i="9"/>
  <c r="C219" i="9"/>
  <c r="G159" i="9"/>
  <c r="E121" i="9"/>
  <c r="D232" i="9"/>
  <c r="I232" i="9"/>
  <c r="I209" i="9"/>
  <c r="I219" i="9"/>
  <c r="J228" i="9"/>
  <c r="L224" i="9"/>
  <c r="L121" i="9"/>
  <c r="L169" i="9"/>
  <c r="F137" i="9"/>
  <c r="F251" i="9"/>
  <c r="K169" i="9"/>
  <c r="K228" i="9"/>
  <c r="C225" i="9"/>
  <c r="C114" i="9"/>
  <c r="C137" i="9"/>
  <c r="E219" i="9"/>
  <c r="H173" i="9"/>
  <c r="H107" i="9"/>
  <c r="D57" i="9"/>
  <c r="D162" i="9"/>
  <c r="B209" i="9"/>
  <c r="I114" i="9"/>
  <c r="J227" i="9"/>
  <c r="L107" i="9"/>
  <c r="F227" i="9"/>
  <c r="K167" i="9"/>
  <c r="C224" i="9"/>
  <c r="C251" i="9"/>
  <c r="G173" i="9"/>
  <c r="E114" i="9"/>
  <c r="E159" i="9"/>
  <c r="H168" i="9"/>
  <c r="H209" i="9"/>
  <c r="D225" i="9"/>
  <c r="D231" i="9"/>
  <c r="B128" i="9"/>
  <c r="I57" i="9"/>
  <c r="I54" i="9" s="1"/>
  <c r="J225" i="9"/>
  <c r="J114" i="9"/>
  <c r="L232" i="9"/>
  <c r="F225" i="9"/>
  <c r="F164" i="9"/>
  <c r="K227" i="9"/>
  <c r="C211" i="9"/>
  <c r="G169" i="9"/>
  <c r="E232" i="9"/>
  <c r="E230" i="9"/>
  <c r="H128" i="9"/>
  <c r="H166" i="9"/>
  <c r="D173" i="9"/>
  <c r="I167" i="9"/>
  <c r="K123" i="9"/>
  <c r="G232" i="9"/>
  <c r="B121" i="9"/>
  <c r="L57" i="9"/>
  <c r="G209" i="9"/>
  <c r="L209" i="9"/>
  <c r="K114" i="9"/>
  <c r="E225" i="9"/>
  <c r="J209" i="9"/>
  <c r="F209" i="9"/>
  <c r="C159" i="9"/>
  <c r="J154" i="9"/>
  <c r="G230" i="9"/>
  <c r="I227" i="9"/>
  <c r="J166" i="9"/>
  <c r="K168" i="9"/>
  <c r="H154" i="9"/>
  <c r="B225" i="9"/>
  <c r="J123" i="9"/>
  <c r="F128" i="9"/>
  <c r="G137" i="9"/>
  <c r="H232" i="9"/>
  <c r="B224" i="9"/>
  <c r="L154" i="9"/>
  <c r="F121" i="9"/>
  <c r="K107" i="9"/>
  <c r="E246" i="9"/>
  <c r="B173" i="9"/>
  <c r="I107" i="9"/>
  <c r="F228" i="9"/>
  <c r="F107" i="9"/>
  <c r="K230" i="9"/>
  <c r="C123" i="9"/>
  <c r="G128" i="9"/>
  <c r="E123" i="9"/>
  <c r="H225" i="9"/>
  <c r="H219" i="9"/>
  <c r="D159" i="9"/>
  <c r="B219" i="9"/>
  <c r="B211" i="9"/>
  <c r="I211" i="9"/>
  <c r="L227" i="9"/>
  <c r="L114" i="9"/>
  <c r="G211" i="9"/>
  <c r="D224" i="9"/>
  <c r="I228" i="9"/>
  <c r="I246" i="9"/>
  <c r="J219" i="9"/>
  <c r="J224" i="9"/>
  <c r="L166" i="9"/>
  <c r="F246" i="9"/>
  <c r="K154" i="9"/>
  <c r="K159" i="9"/>
  <c r="E209" i="9"/>
  <c r="E107" i="9"/>
  <c r="E166" i="9"/>
  <c r="H167" i="9"/>
  <c r="L251" i="9"/>
  <c r="G114" i="9"/>
  <c r="E164" i="9"/>
  <c r="D211" i="9"/>
  <c r="D209" i="9"/>
  <c r="I231" i="9"/>
  <c r="L162" i="9"/>
  <c r="G107" i="9"/>
  <c r="D251" i="9"/>
  <c r="F211" i="9"/>
  <c r="B162" i="9"/>
  <c r="D114" i="9"/>
  <c r="I162" i="9"/>
  <c r="G219" i="9"/>
  <c r="H231" i="9"/>
  <c r="D128" i="9"/>
  <c r="I168" i="9"/>
  <c r="J169" i="9"/>
  <c r="L230" i="9"/>
  <c r="O230" i="9" s="1"/>
  <c r="P230" i="9" s="1"/>
  <c r="Q230" i="9" s="1"/>
  <c r="F162" i="9"/>
  <c r="K225" i="9"/>
  <c r="G123" i="9"/>
  <c r="G246" i="9"/>
  <c r="E173" i="9"/>
  <c r="E231" i="9"/>
  <c r="E57" i="9"/>
  <c r="H159" i="9"/>
  <c r="H246" i="9"/>
  <c r="L211" i="9"/>
  <c r="K209" i="9"/>
  <c r="C128" i="9"/>
  <c r="L128" i="9"/>
  <c r="F173" i="9"/>
  <c r="C166" i="9"/>
  <c r="E162" i="9"/>
  <c r="J231" i="9"/>
  <c r="K137" i="9"/>
  <c r="E137" i="9"/>
  <c r="B231" i="9"/>
  <c r="J164" i="9"/>
  <c r="C231" i="9"/>
  <c r="E224" i="9"/>
  <c r="C162" i="9"/>
  <c r="D230" i="9"/>
  <c r="I123" i="9"/>
  <c r="L159" i="9"/>
  <c r="C173" i="9"/>
  <c r="J57" i="9"/>
  <c r="K166" i="9"/>
  <c r="E169" i="9"/>
  <c r="D219" i="9"/>
  <c r="D121" i="9"/>
  <c r="I137" i="9"/>
  <c r="I169" i="9"/>
  <c r="J173" i="9"/>
  <c r="J121" i="9"/>
  <c r="J107" i="9"/>
  <c r="L219" i="9"/>
  <c r="L164" i="9"/>
  <c r="L231" i="9"/>
  <c r="F224" i="9"/>
  <c r="K128" i="9"/>
  <c r="C230" i="9"/>
  <c r="C209" i="9"/>
  <c r="G121" i="9"/>
  <c r="G168" i="9"/>
  <c r="E228" i="9"/>
  <c r="H224" i="9"/>
  <c r="H123" i="9"/>
  <c r="H137" i="9"/>
  <c r="Q238" i="9"/>
  <c r="P238" i="9"/>
  <c r="O238" i="9"/>
  <c r="N238" i="9"/>
  <c r="M238" i="9"/>
  <c r="D2" i="9"/>
  <c r="L27" i="23" l="1"/>
  <c r="F72" i="23"/>
  <c r="F55" i="23"/>
  <c r="F88" i="23"/>
  <c r="K27" i="24"/>
  <c r="D110" i="24"/>
  <c r="C108" i="24"/>
  <c r="D108" i="24"/>
  <c r="L136" i="23"/>
  <c r="M227" i="24"/>
  <c r="N227" i="24" s="1"/>
  <c r="O227" i="24" s="1"/>
  <c r="P227" i="24" s="1"/>
  <c r="Q227" i="24" s="1"/>
  <c r="M227" i="9"/>
  <c r="N227" i="9" s="1"/>
  <c r="O227" i="9" s="1"/>
  <c r="P227" i="9" s="1"/>
  <c r="Q227" i="9" s="1"/>
  <c r="M228" i="24"/>
  <c r="N228" i="24" s="1"/>
  <c r="O228" i="24" s="1"/>
  <c r="P228" i="24" s="1"/>
  <c r="Q228" i="24" s="1"/>
  <c r="M231" i="24"/>
  <c r="N231" i="24" s="1"/>
  <c r="O231" i="24" s="1"/>
  <c r="P231" i="24" s="1"/>
  <c r="Q231" i="24" s="1"/>
  <c r="M231" i="23"/>
  <c r="N231" i="23" s="1"/>
  <c r="O231" i="23" s="1"/>
  <c r="P231" i="23" s="1"/>
  <c r="Q231" i="23" s="1"/>
  <c r="M245" i="23"/>
  <c r="N245" i="23" s="1"/>
  <c r="O245" i="23" s="1"/>
  <c r="P245" i="23" s="1"/>
  <c r="Q245" i="23" s="1"/>
  <c r="K46" i="23"/>
  <c r="K88" i="23"/>
  <c r="K80" i="23"/>
  <c r="M228" i="9"/>
  <c r="N228" i="9" s="1"/>
  <c r="O228" i="9" s="1"/>
  <c r="P228" i="9" s="1"/>
  <c r="Q228" i="9" s="1"/>
  <c r="K62" i="23"/>
  <c r="M223" i="23"/>
  <c r="N223" i="23" s="1"/>
  <c r="O223" i="23" s="1"/>
  <c r="P223" i="23" s="1"/>
  <c r="Q223" i="23" s="1"/>
  <c r="K72" i="23"/>
  <c r="K55" i="23"/>
  <c r="M231" i="9"/>
  <c r="N231" i="9" s="1"/>
  <c r="O231" i="9" s="1"/>
  <c r="P231" i="9" s="1"/>
  <c r="Q231" i="9" s="1"/>
  <c r="D80" i="23"/>
  <c r="D72" i="23"/>
  <c r="D62" i="23"/>
  <c r="E46" i="23"/>
  <c r="D46" i="23"/>
  <c r="D88" i="23"/>
  <c r="L112" i="23"/>
  <c r="E72" i="23"/>
  <c r="L119" i="24"/>
  <c r="E80" i="23"/>
  <c r="F46" i="23"/>
  <c r="E88" i="23"/>
  <c r="E62" i="23"/>
  <c r="M227" i="23"/>
  <c r="N227" i="23" s="1"/>
  <c r="O227" i="23" s="1"/>
  <c r="P227" i="23" s="1"/>
  <c r="Q227" i="23" s="1"/>
  <c r="D55" i="23"/>
  <c r="M228" i="23"/>
  <c r="N228" i="23" s="1"/>
  <c r="O228" i="23" s="1"/>
  <c r="P228" i="23" s="1"/>
  <c r="Q228" i="23" s="1"/>
  <c r="E55" i="23"/>
  <c r="B119" i="23"/>
  <c r="D112" i="23"/>
  <c r="E136" i="24"/>
  <c r="L119" i="23"/>
  <c r="K112" i="23"/>
  <c r="B119" i="24"/>
  <c r="L112" i="24"/>
  <c r="D119" i="24"/>
  <c r="D235" i="23"/>
  <c r="D236" i="23" s="1"/>
  <c r="E136" i="23"/>
  <c r="I46" i="9"/>
  <c r="I62" i="9"/>
  <c r="J46" i="9"/>
  <c r="I72" i="9"/>
  <c r="K236" i="23"/>
  <c r="C72" i="24"/>
  <c r="C62" i="24"/>
  <c r="C80" i="24"/>
  <c r="C88" i="24"/>
  <c r="C46" i="24"/>
  <c r="C48" i="24"/>
  <c r="C49" i="24" s="1"/>
  <c r="B72" i="24"/>
  <c r="B62" i="24"/>
  <c r="B80" i="24"/>
  <c r="B88" i="24"/>
  <c r="B48" i="24"/>
  <c r="B49" i="24" s="1"/>
  <c r="F72" i="24"/>
  <c r="F62" i="24"/>
  <c r="F80" i="24"/>
  <c r="F88" i="24"/>
  <c r="F46" i="24"/>
  <c r="F48" i="24"/>
  <c r="F49" i="24" s="1"/>
  <c r="C27" i="24"/>
  <c r="B45" i="23"/>
  <c r="C27" i="23"/>
  <c r="E72" i="24"/>
  <c r="E62" i="24"/>
  <c r="E80" i="24"/>
  <c r="E88" i="24"/>
  <c r="E46" i="24"/>
  <c r="E48" i="24"/>
  <c r="E49" i="24" s="1"/>
  <c r="D119" i="23"/>
  <c r="D235" i="24"/>
  <c r="D236" i="24" s="1"/>
  <c r="I80" i="24"/>
  <c r="I88" i="24"/>
  <c r="I46" i="24"/>
  <c r="I72" i="24"/>
  <c r="I62" i="24"/>
  <c r="I48" i="24"/>
  <c r="I49" i="24" s="1"/>
  <c r="C112" i="24"/>
  <c r="E112" i="24"/>
  <c r="D112" i="24"/>
  <c r="I235" i="23"/>
  <c r="I236" i="23" s="1"/>
  <c r="J88" i="24"/>
  <c r="J46" i="24"/>
  <c r="J72" i="24"/>
  <c r="J62" i="24"/>
  <c r="J80" i="24"/>
  <c r="J48" i="24"/>
  <c r="J49" i="24" s="1"/>
  <c r="C112" i="23"/>
  <c r="E112" i="23"/>
  <c r="I48" i="9"/>
  <c r="I49" i="9" s="1"/>
  <c r="L233" i="23"/>
  <c r="L235" i="23"/>
  <c r="L236" i="23" s="1"/>
  <c r="G72" i="24"/>
  <c r="G62" i="24"/>
  <c r="G80" i="24"/>
  <c r="G88" i="24"/>
  <c r="G46" i="24"/>
  <c r="G48" i="24"/>
  <c r="G49" i="24" s="1"/>
  <c r="H112" i="24"/>
  <c r="I112" i="24"/>
  <c r="H112" i="23"/>
  <c r="I112" i="23"/>
  <c r="L136" i="24"/>
  <c r="M136" i="24"/>
  <c r="K72" i="24"/>
  <c r="K46" i="24"/>
  <c r="K62" i="24"/>
  <c r="K80" i="24"/>
  <c r="K88" i="24"/>
  <c r="K48" i="24"/>
  <c r="K49" i="24" s="1"/>
  <c r="M167" i="24"/>
  <c r="H235" i="24"/>
  <c r="H236" i="24" s="1"/>
  <c r="B55" i="24"/>
  <c r="L235" i="24"/>
  <c r="L236" i="24" s="1"/>
  <c r="K236" i="24"/>
  <c r="H235" i="23"/>
  <c r="H236" i="23" s="1"/>
  <c r="I235" i="24"/>
  <c r="I236" i="24" s="1"/>
  <c r="L27" i="24"/>
  <c r="L45" i="24"/>
  <c r="M26" i="24"/>
  <c r="H72" i="24"/>
  <c r="H62" i="24"/>
  <c r="H80" i="24"/>
  <c r="H88" i="24"/>
  <c r="H46" i="24"/>
  <c r="H48" i="24"/>
  <c r="H49" i="24" s="1"/>
  <c r="D72" i="24"/>
  <c r="D62" i="24"/>
  <c r="D80" i="24"/>
  <c r="D88" i="24"/>
  <c r="D46" i="24"/>
  <c r="D48" i="24"/>
  <c r="D49" i="24" s="1"/>
  <c r="K112" i="24"/>
  <c r="J27" i="9"/>
  <c r="I27" i="9"/>
  <c r="I80" i="9"/>
  <c r="I27" i="23"/>
  <c r="I45" i="23"/>
  <c r="J27" i="23"/>
  <c r="N167" i="23"/>
  <c r="C110" i="23"/>
  <c r="D110" i="23"/>
  <c r="L72" i="23"/>
  <c r="L62" i="23"/>
  <c r="L80" i="23"/>
  <c r="L88" i="23"/>
  <c r="L46" i="23"/>
  <c r="L48" i="23"/>
  <c r="L49" i="23" s="1"/>
  <c r="N26" i="23"/>
  <c r="M45" i="23"/>
  <c r="C105" i="9"/>
  <c r="C156" i="9"/>
  <c r="L88" i="9"/>
  <c r="L62" i="9"/>
  <c r="F46" i="9"/>
  <c r="F72" i="9"/>
  <c r="F62" i="9"/>
  <c r="F48" i="9"/>
  <c r="F49" i="9" s="1"/>
  <c r="F88" i="9"/>
  <c r="F80" i="9"/>
  <c r="D105" i="9"/>
  <c r="L72" i="9"/>
  <c r="L80" i="9"/>
  <c r="I65" i="9"/>
  <c r="G65" i="9"/>
  <c r="D65" i="9"/>
  <c r="L65" i="9"/>
  <c r="E65" i="9"/>
  <c r="H65" i="9"/>
  <c r="F65" i="9"/>
  <c r="K65" i="9"/>
  <c r="J65" i="9"/>
  <c r="L46" i="9"/>
  <c r="L48" i="9"/>
  <c r="L49" i="9" s="1"/>
  <c r="O26" i="9"/>
  <c r="L124" i="9"/>
  <c r="F126" i="9"/>
  <c r="J223" i="9"/>
  <c r="F223" i="9"/>
  <c r="B210" i="9"/>
  <c r="J126" i="9"/>
  <c r="G223" i="9"/>
  <c r="E223" i="9"/>
  <c r="I223" i="9"/>
  <c r="B223" i="9"/>
  <c r="C223" i="9"/>
  <c r="L223" i="9"/>
  <c r="H223" i="9"/>
  <c r="D223" i="9"/>
  <c r="K223" i="9"/>
  <c r="E210" i="9"/>
  <c r="H212" i="9"/>
  <c r="F54" i="9"/>
  <c r="F55" i="9" s="1"/>
  <c r="E54" i="9"/>
  <c r="E55" i="9" s="1"/>
  <c r="L105" i="9"/>
  <c r="L102" i="9" s="1"/>
  <c r="I55" i="9"/>
  <c r="K54" i="9"/>
  <c r="K55" i="9" s="1"/>
  <c r="G54" i="9"/>
  <c r="G55" i="9" s="1"/>
  <c r="C54" i="9"/>
  <c r="C55" i="9" s="1"/>
  <c r="B54" i="9"/>
  <c r="B55" i="9" s="1"/>
  <c r="F105" i="9"/>
  <c r="G210" i="9"/>
  <c r="J212" i="9"/>
  <c r="G105" i="9"/>
  <c r="K210" i="9"/>
  <c r="C210" i="9"/>
  <c r="F210" i="9"/>
  <c r="K105" i="9"/>
  <c r="L54" i="9"/>
  <c r="L55" i="9" s="1"/>
  <c r="C126" i="9"/>
  <c r="J210" i="9"/>
  <c r="E105" i="9"/>
  <c r="L210" i="9"/>
  <c r="I105" i="9"/>
  <c r="D210" i="9"/>
  <c r="I210" i="9"/>
  <c r="L126" i="9"/>
  <c r="H54" i="9"/>
  <c r="H55" i="9" s="1"/>
  <c r="C212" i="9"/>
  <c r="I126" i="9"/>
  <c r="L212" i="9"/>
  <c r="D126" i="9"/>
  <c r="H210" i="9"/>
  <c r="H105" i="9"/>
  <c r="C58" i="9"/>
  <c r="K126" i="9"/>
  <c r="J105" i="9"/>
  <c r="I212" i="9"/>
  <c r="K212" i="9"/>
  <c r="G212" i="9"/>
  <c r="D212" i="9"/>
  <c r="B212" i="9"/>
  <c r="E212" i="9"/>
  <c r="G126" i="9"/>
  <c r="F212" i="9"/>
  <c r="E126" i="9"/>
  <c r="H126" i="9"/>
  <c r="J54" i="9"/>
  <c r="J55" i="9" s="1"/>
  <c r="D54" i="9"/>
  <c r="D55" i="9" s="1"/>
  <c r="B109" i="9"/>
  <c r="H156" i="9"/>
  <c r="H233" i="9"/>
  <c r="B233" i="9"/>
  <c r="J165" i="9"/>
  <c r="P26" i="9" l="1"/>
  <c r="Q26" i="9" s="1"/>
  <c r="M223" i="9"/>
  <c r="N223" i="9" s="1"/>
  <c r="N26" i="24"/>
  <c r="M45" i="24"/>
  <c r="B48" i="23"/>
  <c r="B49" i="23" s="1"/>
  <c r="B88" i="23"/>
  <c r="B80" i="23"/>
  <c r="B55" i="23"/>
  <c r="C46" i="23"/>
  <c r="B72" i="23"/>
  <c r="B62" i="23"/>
  <c r="L46" i="24"/>
  <c r="L72" i="24"/>
  <c r="L62" i="24"/>
  <c r="L88" i="24"/>
  <c r="L80" i="24"/>
  <c r="L48" i="24"/>
  <c r="L49" i="24" s="1"/>
  <c r="L55" i="24"/>
  <c r="N167" i="24"/>
  <c r="O167" i="23"/>
  <c r="M46" i="23"/>
  <c r="B3" i="32" s="1"/>
  <c r="M57" i="23"/>
  <c r="M62" i="23"/>
  <c r="M88" i="23"/>
  <c r="M80" i="23"/>
  <c r="M72" i="23"/>
  <c r="O26" i="23"/>
  <c r="N45" i="23"/>
  <c r="I72" i="23"/>
  <c r="I62" i="23"/>
  <c r="I46" i="23"/>
  <c r="I80" i="23"/>
  <c r="I88" i="23"/>
  <c r="I48" i="23"/>
  <c r="I49" i="23" s="1"/>
  <c r="I55" i="23"/>
  <c r="J46" i="23"/>
  <c r="P242" i="23"/>
  <c r="M103" i="9"/>
  <c r="N102" i="9"/>
  <c r="O102" i="9" s="1"/>
  <c r="C102" i="9"/>
  <c r="I102" i="9"/>
  <c r="F102" i="9"/>
  <c r="J102" i="9"/>
  <c r="D102" i="9"/>
  <c r="H102" i="9"/>
  <c r="G102" i="9"/>
  <c r="E102" i="9"/>
  <c r="K102" i="9"/>
  <c r="E124" i="9"/>
  <c r="K235" i="9"/>
  <c r="J124" i="9"/>
  <c r="H122" i="9"/>
  <c r="E235" i="9"/>
  <c r="G122" i="9"/>
  <c r="C233" i="9"/>
  <c r="F124" i="9"/>
  <c r="C129" i="9"/>
  <c r="I165" i="9"/>
  <c r="G124" i="9"/>
  <c r="C124" i="9"/>
  <c r="I122" i="9"/>
  <c r="C122" i="9"/>
  <c r="H165" i="9"/>
  <c r="F129" i="9"/>
  <c r="K124" i="9"/>
  <c r="L122" i="9"/>
  <c r="I235" i="9"/>
  <c r="H235" i="9"/>
  <c r="D124" i="9"/>
  <c r="I108" i="9"/>
  <c r="J233" i="9"/>
  <c r="C138" i="9"/>
  <c r="I156" i="9"/>
  <c r="F233" i="9"/>
  <c r="L156" i="9"/>
  <c r="G138" i="9"/>
  <c r="I138" i="9"/>
  <c r="E108" i="9"/>
  <c r="H124" i="9"/>
  <c r="E165" i="9"/>
  <c r="K158" i="9"/>
  <c r="I158" i="9"/>
  <c r="L233" i="9"/>
  <c r="I129" i="9"/>
  <c r="J158" i="9"/>
  <c r="H158" i="9"/>
  <c r="G235" i="9"/>
  <c r="D233" i="9"/>
  <c r="K156" i="9"/>
  <c r="K109" i="9"/>
  <c r="L165" i="9"/>
  <c r="F108" i="9"/>
  <c r="F109" i="9"/>
  <c r="E122" i="9"/>
  <c r="K233" i="9"/>
  <c r="F156" i="9"/>
  <c r="L108" i="9"/>
  <c r="L109" i="9"/>
  <c r="J58" i="9"/>
  <c r="G108" i="9"/>
  <c r="J122" i="9"/>
  <c r="F165" i="9"/>
  <c r="D129" i="9"/>
  <c r="D122" i="9"/>
  <c r="I109" i="9"/>
  <c r="K165" i="9"/>
  <c r="J156" i="9"/>
  <c r="I233" i="9"/>
  <c r="G129" i="9"/>
  <c r="F122" i="9"/>
  <c r="J129" i="9"/>
  <c r="L158" i="9"/>
  <c r="D58" i="9"/>
  <c r="C235" i="9"/>
  <c r="L58" i="9"/>
  <c r="K58" i="9"/>
  <c r="I58" i="9"/>
  <c r="H138" i="9"/>
  <c r="C109" i="9"/>
  <c r="E129" i="9"/>
  <c r="I124" i="9"/>
  <c r="K122" i="9"/>
  <c r="B235" i="9"/>
  <c r="O167" i="24" l="1"/>
  <c r="P242" i="24"/>
  <c r="M46" i="24"/>
  <c r="B5" i="32" s="1"/>
  <c r="M57" i="24"/>
  <c r="M62" i="24"/>
  <c r="M80" i="24"/>
  <c r="M72" i="24"/>
  <c r="M88" i="24"/>
  <c r="O26" i="24"/>
  <c r="N45" i="24"/>
  <c r="N46" i="23"/>
  <c r="C3" i="32" s="1"/>
  <c r="N57" i="23"/>
  <c r="N88" i="23"/>
  <c r="N80" i="23"/>
  <c r="N62" i="23"/>
  <c r="N72" i="23"/>
  <c r="P26" i="23"/>
  <c r="O45" i="23"/>
  <c r="Q242" i="23"/>
  <c r="P167" i="23"/>
  <c r="M155" i="23"/>
  <c r="M217" i="23"/>
  <c r="M209" i="23"/>
  <c r="M215" i="23"/>
  <c r="M157" i="23"/>
  <c r="M222" i="23"/>
  <c r="M213" i="23"/>
  <c r="M164" i="23"/>
  <c r="M211" i="23"/>
  <c r="M58" i="23"/>
  <c r="M107" i="23"/>
  <c r="O223" i="9"/>
  <c r="O103" i="9"/>
  <c r="P102" i="9"/>
  <c r="N103" i="9"/>
  <c r="F103" i="9"/>
  <c r="H103" i="9"/>
  <c r="J103" i="9"/>
  <c r="L103" i="9"/>
  <c r="K103" i="9"/>
  <c r="I103" i="9"/>
  <c r="E103" i="9"/>
  <c r="G103" i="9"/>
  <c r="D103" i="9"/>
  <c r="L110" i="9"/>
  <c r="D235" i="9"/>
  <c r="H58" i="9"/>
  <c r="G158" i="9"/>
  <c r="D138" i="9"/>
  <c r="E233" i="9"/>
  <c r="L138" i="9"/>
  <c r="E158" i="9"/>
  <c r="F58" i="9"/>
  <c r="I112" i="9"/>
  <c r="J235" i="9"/>
  <c r="E109" i="9"/>
  <c r="E156" i="9"/>
  <c r="K112" i="9"/>
  <c r="J112" i="9"/>
  <c r="C108" i="9"/>
  <c r="E138" i="9"/>
  <c r="C110" i="9"/>
  <c r="J109" i="9"/>
  <c r="J110" i="9" s="1"/>
  <c r="J108" i="9"/>
  <c r="H129" i="9"/>
  <c r="G58" i="9"/>
  <c r="K108" i="9"/>
  <c r="L129" i="9"/>
  <c r="L235" i="9"/>
  <c r="N158" i="9"/>
  <c r="G109" i="9"/>
  <c r="G110" i="9" s="1"/>
  <c r="J138" i="9"/>
  <c r="K129" i="9"/>
  <c r="G165" i="9"/>
  <c r="N156" i="9"/>
  <c r="F138" i="9"/>
  <c r="H109" i="9"/>
  <c r="H108" i="9"/>
  <c r="F235" i="9"/>
  <c r="G156" i="9"/>
  <c r="G233" i="9"/>
  <c r="K138" i="9"/>
  <c r="E58" i="9"/>
  <c r="D109" i="9"/>
  <c r="D110" i="9" s="1"/>
  <c r="D108" i="9"/>
  <c r="M232" i="23" l="1"/>
  <c r="M233" i="23" s="1"/>
  <c r="N57" i="24"/>
  <c r="N46" i="24"/>
  <c r="C5" i="32" s="1"/>
  <c r="N80" i="24"/>
  <c r="N88" i="24"/>
  <c r="N72" i="24"/>
  <c r="N62" i="24"/>
  <c r="P26" i="24"/>
  <c r="O45" i="24"/>
  <c r="P167" i="24"/>
  <c r="M217" i="24"/>
  <c r="M209" i="24"/>
  <c r="M215" i="24"/>
  <c r="M157" i="24"/>
  <c r="M213" i="24"/>
  <c r="M164" i="24"/>
  <c r="M211" i="24"/>
  <c r="M107" i="24"/>
  <c r="M58" i="24"/>
  <c r="M222" i="24"/>
  <c r="M232" i="24" s="1"/>
  <c r="M233" i="24" s="1"/>
  <c r="M155" i="24"/>
  <c r="Q242" i="24"/>
  <c r="M108" i="23"/>
  <c r="M121" i="23"/>
  <c r="M109" i="23"/>
  <c r="M110" i="23" s="1"/>
  <c r="B8" i="32" s="1"/>
  <c r="Q167" i="23"/>
  <c r="O46" i="23"/>
  <c r="D3" i="32" s="1"/>
  <c r="O57" i="23"/>
  <c r="O72" i="23"/>
  <c r="O88" i="23"/>
  <c r="O80" i="23"/>
  <c r="O62" i="23"/>
  <c r="Q26" i="23"/>
  <c r="Q45" i="23" s="1"/>
  <c r="P45" i="23"/>
  <c r="N209" i="23"/>
  <c r="N215" i="23"/>
  <c r="N157" i="23"/>
  <c r="N222" i="23"/>
  <c r="N232" i="23" s="1"/>
  <c r="N233" i="23" s="1"/>
  <c r="N213" i="23"/>
  <c r="N164" i="23"/>
  <c r="N211" i="23"/>
  <c r="N107" i="23"/>
  <c r="N155" i="23"/>
  <c r="N58" i="23"/>
  <c r="N217" i="23"/>
  <c r="P124" i="9"/>
  <c r="Q124" i="9" s="1"/>
  <c r="P223" i="9"/>
  <c r="Q102" i="9"/>
  <c r="Q103" i="9" s="1"/>
  <c r="P103" i="9"/>
  <c r="F110" i="9"/>
  <c r="E110" i="9"/>
  <c r="H110" i="9"/>
  <c r="I110" i="9"/>
  <c r="O156" i="9"/>
  <c r="K110" i="9"/>
  <c r="O158" i="9"/>
  <c r="N217" i="24" l="1"/>
  <c r="N209" i="24"/>
  <c r="N215" i="24"/>
  <c r="N211" i="24"/>
  <c r="N164" i="24"/>
  <c r="N107" i="24"/>
  <c r="N213" i="24"/>
  <c r="N58" i="24"/>
  <c r="N155" i="24"/>
  <c r="N222" i="24"/>
  <c r="N232" i="24" s="1"/>
  <c r="N233" i="24" s="1"/>
  <c r="N157" i="24"/>
  <c r="Q167" i="24"/>
  <c r="O46" i="24"/>
  <c r="D5" i="32" s="1"/>
  <c r="O57" i="24"/>
  <c r="O62" i="24"/>
  <c r="O88" i="24"/>
  <c r="O80" i="24"/>
  <c r="O72" i="24"/>
  <c r="M121" i="24"/>
  <c r="M109" i="24"/>
  <c r="M110" i="24" s="1"/>
  <c r="B10" i="32" s="1"/>
  <c r="M108" i="24"/>
  <c r="Q26" i="24"/>
  <c r="Q45" i="24" s="1"/>
  <c r="P45" i="24"/>
  <c r="O215" i="23"/>
  <c r="O213" i="23"/>
  <c r="O211" i="23"/>
  <c r="O209" i="23"/>
  <c r="O107" i="23"/>
  <c r="O58" i="23"/>
  <c r="O164" i="23"/>
  <c r="O222" i="23"/>
  <c r="O232" i="23" s="1"/>
  <c r="O233" i="23" s="1"/>
  <c r="O155" i="23"/>
  <c r="O157" i="23"/>
  <c r="O217" i="23"/>
  <c r="N108" i="23"/>
  <c r="N121" i="23"/>
  <c r="N109" i="23"/>
  <c r="N110" i="23" s="1"/>
  <c r="C8" i="32" s="1"/>
  <c r="P46" i="23"/>
  <c r="P57" i="23"/>
  <c r="P88" i="23"/>
  <c r="P72" i="23"/>
  <c r="P80" i="23"/>
  <c r="P62" i="23"/>
  <c r="Q46" i="23"/>
  <c r="Q57" i="23"/>
  <c r="Q88" i="23"/>
  <c r="Q62" i="23"/>
  <c r="Q72" i="23"/>
  <c r="Q80" i="23"/>
  <c r="M123" i="23"/>
  <c r="M128" i="23" s="1"/>
  <c r="M122" i="23"/>
  <c r="Q223" i="9"/>
  <c r="P156" i="9"/>
  <c r="P158" i="9"/>
  <c r="P165" i="9"/>
  <c r="M241" i="23" l="1"/>
  <c r="M123" i="24"/>
  <c r="M128" i="24" s="1"/>
  <c r="R13" i="22" s="1"/>
  <c r="M122" i="24"/>
  <c r="N121" i="24"/>
  <c r="N109" i="24"/>
  <c r="N110" i="24" s="1"/>
  <c r="C10" i="32" s="1"/>
  <c r="N108" i="24"/>
  <c r="O215" i="24"/>
  <c r="O213" i="24"/>
  <c r="O211" i="24"/>
  <c r="O155" i="24"/>
  <c r="O209" i="24"/>
  <c r="O107" i="24"/>
  <c r="O58" i="24"/>
  <c r="O164" i="24"/>
  <c r="O217" i="24"/>
  <c r="O157" i="24"/>
  <c r="O222" i="24"/>
  <c r="O232" i="24" s="1"/>
  <c r="O233" i="24" s="1"/>
  <c r="P57" i="24"/>
  <c r="P46" i="24"/>
  <c r="P62" i="24"/>
  <c r="P88" i="24"/>
  <c r="P80" i="24"/>
  <c r="P72" i="24"/>
  <c r="Q57" i="24"/>
  <c r="Q46" i="24"/>
  <c r="Q72" i="24"/>
  <c r="Q62" i="24"/>
  <c r="Q88" i="24"/>
  <c r="Q80" i="24"/>
  <c r="M208" i="23"/>
  <c r="M219" i="23" s="1"/>
  <c r="M235" i="23" s="1"/>
  <c r="M129" i="23"/>
  <c r="M137" i="23"/>
  <c r="B18" i="32" s="1"/>
  <c r="Q215" i="23"/>
  <c r="Q213" i="23"/>
  <c r="Q211" i="23"/>
  <c r="Q209" i="23"/>
  <c r="Q107" i="23"/>
  <c r="Q58" i="23"/>
  <c r="Q222" i="23"/>
  <c r="Q232" i="23" s="1"/>
  <c r="Q233" i="23" s="1"/>
  <c r="Q164" i="23"/>
  <c r="Q157" i="23"/>
  <c r="Q155" i="23"/>
  <c r="Q217" i="23"/>
  <c r="O108" i="23"/>
  <c r="O121" i="23"/>
  <c r="O109" i="23"/>
  <c r="O110" i="23" s="1"/>
  <c r="D8" i="32" s="1"/>
  <c r="P215" i="23"/>
  <c r="P213" i="23"/>
  <c r="P211" i="23"/>
  <c r="P209" i="23"/>
  <c r="P107" i="23"/>
  <c r="P58" i="23"/>
  <c r="P222" i="23"/>
  <c r="P232" i="23" s="1"/>
  <c r="P233" i="23" s="1"/>
  <c r="P164" i="23"/>
  <c r="P155" i="23"/>
  <c r="P157" i="23"/>
  <c r="P217" i="23"/>
  <c r="N123" i="23"/>
  <c r="N128" i="23" s="1"/>
  <c r="N137" i="23" s="1"/>
  <c r="N122" i="23"/>
  <c r="Q165" i="9"/>
  <c r="Q158" i="9"/>
  <c r="Q156" i="9"/>
  <c r="C3" i="25" l="1"/>
  <c r="D3" i="25" s="1"/>
  <c r="C18" i="32"/>
  <c r="M236" i="23"/>
  <c r="M244" i="23" s="1"/>
  <c r="R23" i="22"/>
  <c r="S13" i="21"/>
  <c r="R23" i="21"/>
  <c r="R29" i="21" s="1"/>
  <c r="R32" i="21" s="1"/>
  <c r="R36" i="21" s="1"/>
  <c r="M208" i="24"/>
  <c r="M219" i="24" s="1"/>
  <c r="M235" i="24" s="1"/>
  <c r="M129" i="24"/>
  <c r="M137" i="24"/>
  <c r="B20" i="32" s="1"/>
  <c r="M241" i="24"/>
  <c r="Q215" i="24"/>
  <c r="Q213" i="24"/>
  <c r="Q209" i="24"/>
  <c r="Q58" i="24"/>
  <c r="Q211" i="24"/>
  <c r="Q107" i="24"/>
  <c r="Q155" i="24"/>
  <c r="Q217" i="24"/>
  <c r="Q164" i="24"/>
  <c r="Q222" i="24"/>
  <c r="Q232" i="24" s="1"/>
  <c r="Q233" i="24" s="1"/>
  <c r="Q157" i="24"/>
  <c r="O121" i="24"/>
  <c r="O109" i="24"/>
  <c r="O110" i="24" s="1"/>
  <c r="D10" i="32" s="1"/>
  <c r="O108" i="24"/>
  <c r="P215" i="24"/>
  <c r="P213" i="24"/>
  <c r="P211" i="24"/>
  <c r="P209" i="24"/>
  <c r="P107" i="24"/>
  <c r="P58" i="24"/>
  <c r="P155" i="24"/>
  <c r="P164" i="24"/>
  <c r="P217" i="24"/>
  <c r="P157" i="24"/>
  <c r="P222" i="24"/>
  <c r="P232" i="24" s="1"/>
  <c r="P233" i="24" s="1"/>
  <c r="N123" i="24"/>
  <c r="N128" i="24" s="1"/>
  <c r="S13" i="22" s="1"/>
  <c r="N122" i="24"/>
  <c r="N208" i="23"/>
  <c r="N219" i="23" s="1"/>
  <c r="N235" i="23" s="1"/>
  <c r="N129" i="23"/>
  <c r="N241" i="23"/>
  <c r="P121" i="23"/>
  <c r="P109" i="23"/>
  <c r="P110" i="23" s="1"/>
  <c r="P108" i="23"/>
  <c r="Q121" i="23"/>
  <c r="Q109" i="23"/>
  <c r="Q108" i="23"/>
  <c r="O123" i="23"/>
  <c r="O128" i="23" s="1"/>
  <c r="O122" i="23"/>
  <c r="M138" i="23"/>
  <c r="M132" i="23"/>
  <c r="B169" i="9"/>
  <c r="B166" i="9"/>
  <c r="B159" i="9"/>
  <c r="R29" i="22" l="1"/>
  <c r="R32" i="22" s="1"/>
  <c r="R36" i="22" s="1"/>
  <c r="M243" i="23"/>
  <c r="M168" i="23" s="1"/>
  <c r="M169" i="23" s="1"/>
  <c r="M236" i="24"/>
  <c r="M243" i="24" s="1"/>
  <c r="M168" i="24" s="1"/>
  <c r="S23" i="22"/>
  <c r="S29" i="22" s="1"/>
  <c r="S32" i="22" s="1"/>
  <c r="S36" i="22" s="1"/>
  <c r="T13" i="21"/>
  <c r="T23" i="21" s="1"/>
  <c r="T29" i="21" s="1"/>
  <c r="T32" i="21" s="1"/>
  <c r="T36" i="21" s="1"/>
  <c r="S23" i="21"/>
  <c r="S29" i="21" s="1"/>
  <c r="S32" i="21" s="1"/>
  <c r="S36" i="21" s="1"/>
  <c r="R42" i="21"/>
  <c r="R38" i="21"/>
  <c r="N236" i="23"/>
  <c r="P108" i="24"/>
  <c r="P121" i="24"/>
  <c r="P109" i="24"/>
  <c r="P110" i="24" s="1"/>
  <c r="M138" i="24"/>
  <c r="M132" i="24"/>
  <c r="Q108" i="24"/>
  <c r="Q121" i="24"/>
  <c r="Q109" i="24"/>
  <c r="N208" i="24"/>
  <c r="N219" i="24" s="1"/>
  <c r="N235" i="24" s="1"/>
  <c r="N129" i="24"/>
  <c r="N137" i="24"/>
  <c r="N241" i="24"/>
  <c r="Q110" i="23"/>
  <c r="O123" i="24"/>
  <c r="O128" i="24" s="1"/>
  <c r="T13" i="22" s="1"/>
  <c r="T23" i="22" s="1"/>
  <c r="T29" i="22" s="1"/>
  <c r="T32" i="22" s="1"/>
  <c r="T36" i="22" s="1"/>
  <c r="O122" i="24"/>
  <c r="O129" i="23"/>
  <c r="O137" i="23"/>
  <c r="D17" i="33" s="1"/>
  <c r="O208" i="23"/>
  <c r="O219" i="23" s="1"/>
  <c r="O235" i="23" s="1"/>
  <c r="O241" i="23"/>
  <c r="Q122" i="23"/>
  <c r="Q123" i="23"/>
  <c r="Q128" i="23" s="1"/>
  <c r="P123" i="23"/>
  <c r="P128" i="23" s="1"/>
  <c r="P122" i="23"/>
  <c r="N138" i="23"/>
  <c r="C13" i="32" s="1"/>
  <c r="N132" i="23"/>
  <c r="M133" i="23"/>
  <c r="M134" i="23" s="1"/>
  <c r="B215" i="9"/>
  <c r="B216" i="9" s="1"/>
  <c r="B250" i="9"/>
  <c r="B167" i="9"/>
  <c r="B217" i="9"/>
  <c r="B218" i="9" s="1"/>
  <c r="B168" i="9"/>
  <c r="B154" i="9"/>
  <c r="B172" i="9"/>
  <c r="B244" i="9"/>
  <c r="B135" i="9"/>
  <c r="B252" i="9"/>
  <c r="B253" i="9" s="1"/>
  <c r="B170" i="9"/>
  <c r="B156" i="9"/>
  <c r="B241" i="9"/>
  <c r="B158" i="9"/>
  <c r="B243" i="9"/>
  <c r="B174" i="9"/>
  <c r="B160" i="9"/>
  <c r="B208" i="9"/>
  <c r="B116" i="9"/>
  <c r="B161" i="9"/>
  <c r="B117" i="9"/>
  <c r="B213" i="9"/>
  <c r="B214" i="9" s="1"/>
  <c r="B245" i="9"/>
  <c r="B164" i="9"/>
  <c r="B165" i="9" s="1"/>
  <c r="B123" i="9"/>
  <c r="B249" i="9"/>
  <c r="F158" i="9"/>
  <c r="E154" i="9"/>
  <c r="C158" i="9"/>
  <c r="D158" i="9"/>
  <c r="G2" i="8"/>
  <c r="E2" i="8"/>
  <c r="R42" i="22" l="1"/>
  <c r="R38" i="22"/>
  <c r="M113" i="23"/>
  <c r="M246" i="23"/>
  <c r="M244" i="24"/>
  <c r="M246" i="24" s="1"/>
  <c r="N243" i="23"/>
  <c r="N168" i="23" s="1"/>
  <c r="D18" i="32"/>
  <c r="C4" i="25"/>
  <c r="D4" i="25" s="1"/>
  <c r="C20" i="32"/>
  <c r="T42" i="22"/>
  <c r="T38" i="22"/>
  <c r="Q110" i="24"/>
  <c r="N236" i="24"/>
  <c r="N244" i="24" s="1"/>
  <c r="S38" i="21"/>
  <c r="S42" i="21"/>
  <c r="C10" i="25" s="1"/>
  <c r="D10" i="25" s="1"/>
  <c r="T38" i="21"/>
  <c r="T42" i="21"/>
  <c r="S38" i="22"/>
  <c r="S42" i="22"/>
  <c r="N244" i="23"/>
  <c r="Q122" i="24"/>
  <c r="Q123" i="24"/>
  <c r="Q128" i="24" s="1"/>
  <c r="O129" i="24"/>
  <c r="O137" i="24"/>
  <c r="E17" i="33" s="1"/>
  <c r="O208" i="24"/>
  <c r="O219" i="24" s="1"/>
  <c r="O235" i="24" s="1"/>
  <c r="O241" i="24"/>
  <c r="P123" i="24"/>
  <c r="P128" i="24" s="1"/>
  <c r="P122" i="24"/>
  <c r="M113" i="24"/>
  <c r="M169" i="24"/>
  <c r="N138" i="24"/>
  <c r="C15" i="32" s="1"/>
  <c r="N132" i="24"/>
  <c r="M133" i="24"/>
  <c r="M134" i="24" s="1"/>
  <c r="P129" i="23"/>
  <c r="P137" i="23"/>
  <c r="P208" i="23"/>
  <c r="P219" i="23" s="1"/>
  <c r="P235" i="23" s="1"/>
  <c r="P241" i="23"/>
  <c r="Q129" i="23"/>
  <c r="Q137" i="23"/>
  <c r="Q208" i="23"/>
  <c r="Q219" i="23" s="1"/>
  <c r="Q235" i="23" s="1"/>
  <c r="Q241" i="23"/>
  <c r="O236" i="23"/>
  <c r="O243" i="23" s="1"/>
  <c r="O138" i="23"/>
  <c r="D13" i="32" s="1"/>
  <c r="O132" i="23"/>
  <c r="B124" i="9"/>
  <c r="B126" i="9"/>
  <c r="B119" i="9"/>
  <c r="F172" i="9"/>
  <c r="H116" i="9"/>
  <c r="E244" i="9"/>
  <c r="J116" i="9"/>
  <c r="J252" i="9"/>
  <c r="J253" i="9" s="1"/>
  <c r="G215" i="9"/>
  <c r="G216" i="9" s="1"/>
  <c r="L135" i="9"/>
  <c r="F170" i="9"/>
  <c r="I249" i="9"/>
  <c r="H135" i="9"/>
  <c r="F245" i="9"/>
  <c r="C116" i="9"/>
  <c r="G135" i="9"/>
  <c r="E217" i="9"/>
  <c r="E218" i="9" s="1"/>
  <c r="I161" i="9"/>
  <c r="J213" i="9"/>
  <c r="J214" i="9" s="1"/>
  <c r="G252" i="9"/>
  <c r="G253" i="9" s="1"/>
  <c r="F168" i="9"/>
  <c r="K243" i="9"/>
  <c r="H250" i="9"/>
  <c r="K215" i="9"/>
  <c r="K216" i="9" s="1"/>
  <c r="B242" i="9"/>
  <c r="B236" i="9"/>
  <c r="H172" i="9"/>
  <c r="D160" i="9"/>
  <c r="F250" i="9"/>
  <c r="H252" i="9"/>
  <c r="H253" i="9" s="1"/>
  <c r="E215" i="9"/>
  <c r="E216" i="9" s="1"/>
  <c r="H241" i="9"/>
  <c r="J208" i="9"/>
  <c r="D170" i="9"/>
  <c r="L174" i="9"/>
  <c r="I174" i="9"/>
  <c r="H174" i="9"/>
  <c r="E117" i="9"/>
  <c r="L170" i="9"/>
  <c r="C135" i="9"/>
  <c r="C136" i="9" s="1"/>
  <c r="D215" i="9"/>
  <c r="D216" i="9" s="1"/>
  <c r="D243" i="9"/>
  <c r="D156" i="9"/>
  <c r="H208" i="9"/>
  <c r="H245" i="9"/>
  <c r="E170" i="9"/>
  <c r="G117" i="9"/>
  <c r="D154" i="9"/>
  <c r="J249" i="9"/>
  <c r="D116" i="9"/>
  <c r="I244" i="9"/>
  <c r="C243" i="9"/>
  <c r="K116" i="9"/>
  <c r="L249" i="9"/>
  <c r="F116" i="9"/>
  <c r="C252" i="9"/>
  <c r="C253" i="9" s="1"/>
  <c r="K117" i="9"/>
  <c r="E250" i="9"/>
  <c r="I217" i="9"/>
  <c r="I218" i="9" s="1"/>
  <c r="C245" i="9"/>
  <c r="D245" i="9"/>
  <c r="L213" i="9"/>
  <c r="L214" i="9" s="1"/>
  <c r="F117" i="9"/>
  <c r="L250" i="9"/>
  <c r="E167" i="9"/>
  <c r="H249" i="9"/>
  <c r="E213" i="9"/>
  <c r="E214" i="9" s="1"/>
  <c r="D250" i="9"/>
  <c r="L241" i="9"/>
  <c r="F252" i="9"/>
  <c r="F253" i="9" s="1"/>
  <c r="E135" i="9"/>
  <c r="G241" i="9"/>
  <c r="J170" i="9"/>
  <c r="G160" i="9"/>
  <c r="D172" i="9"/>
  <c r="J172" i="9"/>
  <c r="C213" i="9"/>
  <c r="C214" i="9" s="1"/>
  <c r="H215" i="9"/>
  <c r="H216" i="9" s="1"/>
  <c r="J160" i="9"/>
  <c r="G249" i="9"/>
  <c r="G116" i="9"/>
  <c r="C208" i="9"/>
  <c r="K245" i="9"/>
  <c r="J245" i="9"/>
  <c r="F135" i="9"/>
  <c r="C215" i="9"/>
  <c r="C216" i="9" s="1"/>
  <c r="D135" i="9"/>
  <c r="L208" i="9"/>
  <c r="L243" i="9"/>
  <c r="I250" i="9"/>
  <c r="F160" i="9"/>
  <c r="K208" i="9"/>
  <c r="H170" i="9"/>
  <c r="J241" i="9"/>
  <c r="D164" i="9"/>
  <c r="D165" i="9" s="1"/>
  <c r="L172" i="9"/>
  <c r="I172" i="9"/>
  <c r="C249" i="9"/>
  <c r="L167" i="9"/>
  <c r="I160" i="9"/>
  <c r="F208" i="9"/>
  <c r="C241" i="9"/>
  <c r="H213" i="9"/>
  <c r="H214" i="9" s="1"/>
  <c r="E252" i="9"/>
  <c r="E253" i="9" s="1"/>
  <c r="J161" i="9"/>
  <c r="J217" i="9"/>
  <c r="J218" i="9" s="1"/>
  <c r="D244" i="9"/>
  <c r="C244" i="9"/>
  <c r="L161" i="9"/>
  <c r="C174" i="9"/>
  <c r="J135" i="9"/>
  <c r="E116" i="9"/>
  <c r="J117" i="9"/>
  <c r="G170" i="9"/>
  <c r="D249" i="9"/>
  <c r="F167" i="9"/>
  <c r="L245" i="9"/>
  <c r="I241" i="9"/>
  <c r="L117" i="9"/>
  <c r="C117" i="9"/>
  <c r="E208" i="9"/>
  <c r="D217" i="9"/>
  <c r="D218" i="9" s="1"/>
  <c r="K161" i="9"/>
  <c r="E241" i="9"/>
  <c r="E160" i="9"/>
  <c r="L116" i="9"/>
  <c r="I117" i="9"/>
  <c r="F161" i="9"/>
  <c r="C172" i="9"/>
  <c r="K135" i="9"/>
  <c r="I213" i="9"/>
  <c r="I214" i="9" s="1"/>
  <c r="F244" i="9"/>
  <c r="G250" i="9"/>
  <c r="D174" i="9"/>
  <c r="G213" i="9"/>
  <c r="G214" i="9" s="1"/>
  <c r="G217" i="9"/>
  <c r="G218" i="9" s="1"/>
  <c r="F213" i="9"/>
  <c r="F214" i="9" s="1"/>
  <c r="H117" i="9"/>
  <c r="E249" i="9"/>
  <c r="I116" i="9"/>
  <c r="C168" i="9"/>
  <c r="K244" i="9"/>
  <c r="E174" i="9"/>
  <c r="G174" i="9"/>
  <c r="D117" i="9"/>
  <c r="L252" i="9"/>
  <c r="L253" i="9" s="1"/>
  <c r="I135" i="9"/>
  <c r="G245" i="9"/>
  <c r="D167" i="9"/>
  <c r="D161" i="9"/>
  <c r="K241" i="9"/>
  <c r="C167" i="9"/>
  <c r="H160" i="9"/>
  <c r="J244" i="9"/>
  <c r="L215" i="9"/>
  <c r="L216" i="9" s="1"/>
  <c r="I245" i="9"/>
  <c r="F174" i="9"/>
  <c r="K250" i="9"/>
  <c r="H161" i="9"/>
  <c r="K252" i="9"/>
  <c r="K253" i="9" s="1"/>
  <c r="D241" i="9"/>
  <c r="D208" i="9"/>
  <c r="C160" i="9"/>
  <c r="I252" i="9"/>
  <c r="I253" i="9" s="1"/>
  <c r="C161" i="9"/>
  <c r="E243" i="9"/>
  <c r="L160" i="9"/>
  <c r="F249" i="9"/>
  <c r="G172" i="9"/>
  <c r="D168" i="9"/>
  <c r="F241" i="9"/>
  <c r="C250" i="9"/>
  <c r="K172" i="9"/>
  <c r="K170" i="9"/>
  <c r="I215" i="9"/>
  <c r="I216" i="9" s="1"/>
  <c r="E245" i="9"/>
  <c r="K174" i="9"/>
  <c r="H244" i="9"/>
  <c r="J250" i="9"/>
  <c r="G167" i="9"/>
  <c r="H112" i="9" s="1"/>
  <c r="D213" i="9"/>
  <c r="D214" i="9" s="1"/>
  <c r="C154" i="9"/>
  <c r="C170" i="9"/>
  <c r="K217" i="9"/>
  <c r="K218" i="9" s="1"/>
  <c r="H217" i="9"/>
  <c r="H218" i="9" s="1"/>
  <c r="E172" i="9"/>
  <c r="K213" i="9"/>
  <c r="K214" i="9" s="1"/>
  <c r="F217" i="9"/>
  <c r="F218" i="9" s="1"/>
  <c r="J243" i="9"/>
  <c r="G244" i="9"/>
  <c r="I170" i="9"/>
  <c r="G243" i="9"/>
  <c r="D252" i="9"/>
  <c r="D253" i="9" s="1"/>
  <c r="F215" i="9"/>
  <c r="F216" i="9" s="1"/>
  <c r="H243" i="9"/>
  <c r="E161" i="9"/>
  <c r="L217" i="9"/>
  <c r="L218" i="9" s="1"/>
  <c r="L244" i="9"/>
  <c r="C164" i="9"/>
  <c r="C165" i="9" s="1"/>
  <c r="I208" i="9"/>
  <c r="F243" i="9"/>
  <c r="C217" i="9"/>
  <c r="C218" i="9" s="1"/>
  <c r="K160" i="9"/>
  <c r="J174" i="9"/>
  <c r="G208" i="9"/>
  <c r="K249" i="9"/>
  <c r="E168" i="9"/>
  <c r="G161" i="9"/>
  <c r="J215" i="9"/>
  <c r="J216" i="9" s="1"/>
  <c r="I243" i="9"/>
  <c r="N246" i="23" l="1"/>
  <c r="N113" i="23"/>
  <c r="N169" i="23"/>
  <c r="O168" i="23"/>
  <c r="O169" i="23" s="1"/>
  <c r="C11" i="25"/>
  <c r="D11" i="25" s="1"/>
  <c r="D20" i="32"/>
  <c r="D26" i="33"/>
  <c r="D27" i="33" s="1"/>
  <c r="D18" i="33"/>
  <c r="M218" i="9"/>
  <c r="N218" i="9" s="1"/>
  <c r="M245" i="9"/>
  <c r="N245" i="9" s="1"/>
  <c r="O245" i="9" s="1"/>
  <c r="P245" i="9" s="1"/>
  <c r="Q245" i="9" s="1"/>
  <c r="N243" i="24"/>
  <c r="N168" i="24" s="1"/>
  <c r="N113" i="24" s="1"/>
  <c r="N133" i="23"/>
  <c r="N134" i="23" s="1"/>
  <c r="P129" i="24"/>
  <c r="P137" i="24"/>
  <c r="P208" i="24"/>
  <c r="P219" i="24" s="1"/>
  <c r="P235" i="24" s="1"/>
  <c r="P241" i="24"/>
  <c r="Q137" i="24"/>
  <c r="Q208" i="24"/>
  <c r="Q219" i="24" s="1"/>
  <c r="Q235" i="24" s="1"/>
  <c r="Q129" i="24"/>
  <c r="Q241" i="24"/>
  <c r="O236" i="24"/>
  <c r="O138" i="24"/>
  <c r="D15" i="32" s="1"/>
  <c r="O132" i="24"/>
  <c r="Q236" i="23"/>
  <c r="Q243" i="23" s="1"/>
  <c r="N133" i="24"/>
  <c r="N134" i="24" s="1"/>
  <c r="Q138" i="23"/>
  <c r="Q132" i="23"/>
  <c r="O244" i="23"/>
  <c r="O133" i="23" s="1"/>
  <c r="O134" i="23" s="1"/>
  <c r="P236" i="23"/>
  <c r="P138" i="23"/>
  <c r="P132" i="23"/>
  <c r="L119" i="9"/>
  <c r="E119" i="9"/>
  <c r="G119" i="9"/>
  <c r="D119" i="9"/>
  <c r="H119" i="9"/>
  <c r="F119" i="9"/>
  <c r="I119" i="9"/>
  <c r="K119" i="9"/>
  <c r="C119" i="9"/>
  <c r="J119" i="9"/>
  <c r="N117" i="9"/>
  <c r="O117" i="9" s="1"/>
  <c r="P117" i="9" s="1"/>
  <c r="Q117" i="9" s="1"/>
  <c r="G136" i="9"/>
  <c r="I136" i="9"/>
  <c r="L136" i="9"/>
  <c r="D136" i="9"/>
  <c r="C112" i="9"/>
  <c r="K136" i="9"/>
  <c r="D112" i="9"/>
  <c r="F136" i="9"/>
  <c r="J136" i="9"/>
  <c r="E136" i="9"/>
  <c r="M167" i="9"/>
  <c r="L112" i="9"/>
  <c r="Q112" i="9" s="1"/>
  <c r="J242" i="9"/>
  <c r="J236" i="9"/>
  <c r="E112" i="9"/>
  <c r="E242" i="9"/>
  <c r="E236" i="9"/>
  <c r="I242" i="9"/>
  <c r="I236" i="9"/>
  <c r="C242" i="9"/>
  <c r="C236" i="9"/>
  <c r="G242" i="9"/>
  <c r="G236" i="9"/>
  <c r="F242" i="9"/>
  <c r="F236" i="9"/>
  <c r="H236" i="9"/>
  <c r="H242" i="9"/>
  <c r="H136" i="9"/>
  <c r="G112" i="9"/>
  <c r="F112" i="9"/>
  <c r="D242" i="9"/>
  <c r="D236" i="9"/>
  <c r="K242" i="9"/>
  <c r="K236" i="9"/>
  <c r="L242" i="9"/>
  <c r="P242" i="9" s="1"/>
  <c r="Q242" i="9" s="1"/>
  <c r="L236" i="9"/>
  <c r="M136" i="9"/>
  <c r="N246" i="24" l="1"/>
  <c r="E26" i="33"/>
  <c r="E27" i="33" s="1"/>
  <c r="E18" i="33"/>
  <c r="N169" i="24"/>
  <c r="P236" i="24"/>
  <c r="P244" i="24" s="1"/>
  <c r="Q236" i="24"/>
  <c r="Q243" i="24" s="1"/>
  <c r="Q244" i="23"/>
  <c r="Q246" i="23" s="1"/>
  <c r="O244" i="24"/>
  <c r="O133" i="24" s="1"/>
  <c r="O134" i="24" s="1"/>
  <c r="O243" i="24"/>
  <c r="Q132" i="24"/>
  <c r="Q138" i="24"/>
  <c r="P138" i="24"/>
  <c r="P132" i="24"/>
  <c r="O246" i="23"/>
  <c r="O113" i="23"/>
  <c r="P244" i="23"/>
  <c r="P133" i="23" s="1"/>
  <c r="P134" i="23" s="1"/>
  <c r="P243" i="23"/>
  <c r="O218" i="9"/>
  <c r="N119" i="9"/>
  <c r="O119" i="9" s="1"/>
  <c r="P119" i="9" s="1"/>
  <c r="Q119" i="9" s="1"/>
  <c r="N167" i="9"/>
  <c r="O167" i="9" s="1"/>
  <c r="P167" i="9" s="1"/>
  <c r="Q167" i="9" s="1"/>
  <c r="N136" i="9"/>
  <c r="P243" i="24" l="1"/>
  <c r="Q244" i="24"/>
  <c r="Q133" i="24" s="1"/>
  <c r="Q134" i="24" s="1"/>
  <c r="P246" i="23"/>
  <c r="P246" i="24"/>
  <c r="P133" i="24"/>
  <c r="P134" i="24" s="1"/>
  <c r="Q133" i="23"/>
  <c r="Q134" i="23" s="1"/>
  <c r="O168" i="24"/>
  <c r="O246" i="24"/>
  <c r="P168" i="23"/>
  <c r="P113" i="23" s="1"/>
  <c r="P218" i="9"/>
  <c r="O116" i="9"/>
  <c r="O136" i="9"/>
  <c r="Q246" i="24" l="1"/>
  <c r="P168" i="24"/>
  <c r="P113" i="24" s="1"/>
  <c r="O169" i="24"/>
  <c r="O113" i="24"/>
  <c r="Q168" i="23"/>
  <c r="Q169" i="23" s="1"/>
  <c r="P169" i="23"/>
  <c r="Q218" i="9"/>
  <c r="P116" i="9"/>
  <c r="Q136" i="9"/>
  <c r="P136" i="9"/>
  <c r="Q113" i="23" l="1"/>
  <c r="Q168" i="24"/>
  <c r="Q169" i="24" s="1"/>
  <c r="P169" i="24"/>
  <c r="Q116" i="9"/>
  <c r="Q113" i="24" l="1"/>
  <c r="N126" i="9"/>
  <c r="O126" i="9" s="1"/>
  <c r="P126" i="9" l="1"/>
  <c r="Q126" i="9" l="1"/>
  <c r="Q13" i="9"/>
  <c r="P13" i="9"/>
  <c r="O14" i="9" l="1"/>
  <c r="P14" i="9"/>
  <c r="Q14" i="9"/>
  <c r="M21" i="9" l="1"/>
  <c r="M23" i="9"/>
  <c r="M66" i="9" s="1"/>
  <c r="R26" i="19" l="1"/>
  <c r="R14" i="19" s="1"/>
  <c r="R15" i="19"/>
  <c r="R18" i="19"/>
  <c r="R27" i="19"/>
  <c r="R16" i="19"/>
  <c r="R19" i="19"/>
  <c r="M45" i="9"/>
  <c r="D3" i="27" s="1"/>
  <c r="M100" i="9"/>
  <c r="M87" i="9"/>
  <c r="M71" i="9"/>
  <c r="M24" i="9"/>
  <c r="M15" i="9"/>
  <c r="M16" i="9" s="1"/>
  <c r="M61" i="9" l="1"/>
  <c r="M68" i="9" s="1"/>
  <c r="M57" i="9"/>
  <c r="D5" i="27"/>
  <c r="R17" i="19"/>
  <c r="M92" i="9"/>
  <c r="Q27" i="15" s="1"/>
  <c r="M63" i="9"/>
  <c r="M91" i="9"/>
  <c r="M93" i="9" s="1"/>
  <c r="M72" i="9"/>
  <c r="M73" i="9"/>
  <c r="M46" i="9"/>
  <c r="B4" i="32" s="1"/>
  <c r="Q26" i="15" l="1"/>
  <c r="R71" i="19"/>
  <c r="Q28" i="15"/>
  <c r="M155" i="9"/>
  <c r="M209" i="9"/>
  <c r="M211" i="9"/>
  <c r="M164" i="9"/>
  <c r="M58" i="9"/>
  <c r="M217" i="9"/>
  <c r="M157" i="9"/>
  <c r="M215" i="9"/>
  <c r="M213" i="9"/>
  <c r="M222" i="9"/>
  <c r="M232" i="9" l="1"/>
  <c r="O21" i="9"/>
  <c r="Q21" i="9"/>
  <c r="P21" i="9"/>
  <c r="N23" i="9"/>
  <c r="O23" i="9"/>
  <c r="O45" i="9" s="1"/>
  <c r="Q23" i="9"/>
  <c r="N21" i="9"/>
  <c r="P23" i="9"/>
  <c r="M233" i="9" l="1"/>
  <c r="T18" i="19"/>
  <c r="T16" i="19"/>
  <c r="T15" i="19"/>
  <c r="T19" i="19"/>
  <c r="N66" i="9"/>
  <c r="N61" i="9" s="1"/>
  <c r="S18" i="19"/>
  <c r="S16" i="19"/>
  <c r="S15" i="19"/>
  <c r="S27" i="19"/>
  <c r="S19" i="19"/>
  <c r="S26" i="19"/>
  <c r="O66" i="9"/>
  <c r="O61" i="9" s="1"/>
  <c r="O91" i="9" s="1"/>
  <c r="H13" i="27" s="1"/>
  <c r="N79" i="9"/>
  <c r="N87" i="9"/>
  <c r="P79" i="9"/>
  <c r="P87" i="9"/>
  <c r="Q79" i="9"/>
  <c r="Q87" i="9"/>
  <c r="O79" i="9"/>
  <c r="O87" i="9"/>
  <c r="O71" i="9"/>
  <c r="P61" i="9"/>
  <c r="P91" i="9" s="1"/>
  <c r="P71" i="9"/>
  <c r="Q61" i="9"/>
  <c r="Q91" i="9" s="1"/>
  <c r="Q71" i="9"/>
  <c r="N71" i="9"/>
  <c r="N15" i="9"/>
  <c r="N16" i="9" s="1"/>
  <c r="Q15" i="9"/>
  <c r="P15" i="9"/>
  <c r="O15" i="9"/>
  <c r="N45" i="9"/>
  <c r="E3" i="27" s="1"/>
  <c r="N24" i="9"/>
  <c r="F3" i="27"/>
  <c r="P45" i="9"/>
  <c r="Q24" i="9"/>
  <c r="O24" i="9"/>
  <c r="P24" i="9"/>
  <c r="Q45" i="9"/>
  <c r="N92" i="9" l="1"/>
  <c r="N91" i="9"/>
  <c r="E6" i="27"/>
  <c r="E5" i="27"/>
  <c r="F6" i="27"/>
  <c r="T17" i="19"/>
  <c r="S14" i="19"/>
  <c r="S17" i="19"/>
  <c r="P92" i="9"/>
  <c r="P93" i="9" s="1"/>
  <c r="Q92" i="9"/>
  <c r="Q93" i="9" s="1"/>
  <c r="O92" i="9"/>
  <c r="O93" i="9" s="1"/>
  <c r="H14" i="27" s="1"/>
  <c r="O57" i="9"/>
  <c r="O157" i="9" s="1"/>
  <c r="Q16" i="9"/>
  <c r="O16" i="9"/>
  <c r="P16" i="9"/>
  <c r="N57" i="9"/>
  <c r="N58" i="9" s="1"/>
  <c r="P46" i="9"/>
  <c r="N46" i="9"/>
  <c r="O46" i="9"/>
  <c r="D4" i="32" s="1"/>
  <c r="P57" i="9"/>
  <c r="P211" i="9" s="1"/>
  <c r="Q57" i="9"/>
  <c r="Q46" i="9"/>
  <c r="S71" i="19" l="1"/>
  <c r="T71" i="19"/>
  <c r="R27" i="15"/>
  <c r="T27" i="15"/>
  <c r="S27" i="15"/>
  <c r="R26" i="15"/>
  <c r="T26" i="15"/>
  <c r="S26" i="15"/>
  <c r="N93" i="9"/>
  <c r="C4" i="32"/>
  <c r="H6" i="27"/>
  <c r="O217" i="9"/>
  <c r="O222" i="9"/>
  <c r="O232" i="9" s="1"/>
  <c r="O233" i="9" s="1"/>
  <c r="O164" i="9"/>
  <c r="O209" i="9"/>
  <c r="O213" i="9"/>
  <c r="O211" i="9"/>
  <c r="O155" i="9"/>
  <c r="O215" i="9"/>
  <c r="N157" i="9"/>
  <c r="N217" i="9"/>
  <c r="N164" i="9"/>
  <c r="N211" i="9"/>
  <c r="N222" i="9"/>
  <c r="N232" i="9" s="1"/>
  <c r="N233" i="9" s="1"/>
  <c r="N209" i="9"/>
  <c r="N215" i="9"/>
  <c r="N155" i="9"/>
  <c r="O58" i="9"/>
  <c r="N213" i="9"/>
  <c r="P164" i="9"/>
  <c r="P58" i="9"/>
  <c r="P215" i="9"/>
  <c r="P213" i="9"/>
  <c r="P222" i="9"/>
  <c r="P232" i="9" s="1"/>
  <c r="P233" i="9" s="1"/>
  <c r="P209" i="9"/>
  <c r="P217" i="9"/>
  <c r="P155" i="9"/>
  <c r="P157" i="9"/>
  <c r="Q157" i="9"/>
  <c r="Q58" i="9"/>
  <c r="Q217" i="9"/>
  <c r="Q215" i="9"/>
  <c r="Q164" i="9"/>
  <c r="Q155" i="9"/>
  <c r="Q213" i="9"/>
  <c r="Q209" i="9"/>
  <c r="Q222" i="9"/>
  <c r="Q232" i="9" s="1"/>
  <c r="Q233" i="9" s="1"/>
  <c r="Q211" i="9"/>
  <c r="R28" i="15" l="1"/>
  <c r="S28" i="15"/>
  <c r="T28" i="15"/>
  <c r="V26" i="15"/>
  <c r="V27" i="15"/>
  <c r="D11" i="15"/>
  <c r="V28" i="15" l="1"/>
  <c r="D14" i="15"/>
  <c r="D21" i="15" s="1"/>
  <c r="E12" i="15"/>
  <c r="D6" i="15"/>
  <c r="D7" i="15" s="1"/>
  <c r="D15" i="15"/>
  <c r="D12" i="15"/>
  <c r="V30" i="15" l="1"/>
  <c r="V31" i="15" s="1"/>
  <c r="V35" i="15" s="1"/>
  <c r="V36" i="15" s="1"/>
  <c r="V39" i="15" s="1"/>
  <c r="V41" i="15" s="1"/>
  <c r="G11" i="15"/>
  <c r="E14" i="15"/>
  <c r="V43" i="15" l="1"/>
  <c r="G14" i="15"/>
  <c r="E6" i="15"/>
  <c r="E21" i="15"/>
  <c r="I15" i="15"/>
  <c r="E15" i="15"/>
  <c r="V46" i="15" l="1"/>
  <c r="G6" i="15"/>
  <c r="G21" i="15"/>
  <c r="E7" i="15"/>
  <c r="M69" i="9"/>
  <c r="M62" i="9"/>
  <c r="Q65" i="9"/>
  <c r="P65" i="9"/>
  <c r="O65" i="9"/>
  <c r="N62" i="9"/>
  <c r="N65" i="9"/>
  <c r="O62" i="9"/>
  <c r="P68" i="9"/>
  <c r="Q63" i="9" l="1"/>
  <c r="N63" i="9"/>
  <c r="O68" i="9"/>
  <c r="P62" i="9"/>
  <c r="Q62" i="9"/>
  <c r="P63" i="9"/>
  <c r="N68" i="9"/>
  <c r="N69" i="9" s="1"/>
  <c r="O63" i="9"/>
  <c r="Q68" i="9"/>
  <c r="Q69" i="9" s="1"/>
  <c r="O69" i="9" l="1"/>
  <c r="P69" i="9"/>
  <c r="M75" i="9"/>
  <c r="M76" i="9"/>
  <c r="M77" i="9" s="1"/>
  <c r="Q75" i="9" l="1"/>
  <c r="O75" i="9"/>
  <c r="P75" i="9"/>
  <c r="N75" i="9"/>
  <c r="Q76" i="9"/>
  <c r="N76" i="9"/>
  <c r="N77" i="9" s="1"/>
  <c r="O76" i="9"/>
  <c r="P76" i="9"/>
  <c r="Q73" i="9"/>
  <c r="Q72" i="9"/>
  <c r="P73" i="9"/>
  <c r="P72" i="9"/>
  <c r="N72" i="9"/>
  <c r="O72" i="9"/>
  <c r="O73" i="9"/>
  <c r="N73" i="9"/>
  <c r="O77" i="9" l="1"/>
  <c r="P77" i="9"/>
  <c r="Q77" i="9"/>
  <c r="M84" i="9"/>
  <c r="M85" i="9" s="1"/>
  <c r="M81" i="9"/>
  <c r="M80" i="9"/>
  <c r="N84" i="9" l="1"/>
  <c r="N85" i="9" s="1"/>
  <c r="O84" i="9"/>
  <c r="Q84" i="9"/>
  <c r="P84" i="9"/>
  <c r="P80" i="9"/>
  <c r="P81" i="9"/>
  <c r="Q81" i="9"/>
  <c r="O81" i="9"/>
  <c r="O80" i="9"/>
  <c r="Q80" i="9"/>
  <c r="N81" i="9"/>
  <c r="N80" i="9"/>
  <c r="O85" i="9" l="1"/>
  <c r="P85" i="9"/>
  <c r="Q85" i="9"/>
  <c r="M88" i="9"/>
  <c r="M105" i="9"/>
  <c r="M107" i="9" s="1"/>
  <c r="M121" i="9" l="1"/>
  <c r="D7" i="27"/>
  <c r="M108" i="9"/>
  <c r="M109" i="9"/>
  <c r="M110" i="9" s="1"/>
  <c r="B9" i="32" s="1"/>
  <c r="M123" i="9" l="1"/>
  <c r="M128" i="9" s="1"/>
  <c r="R13" i="19" s="1"/>
  <c r="R65" i="19" s="1"/>
  <c r="M122" i="9"/>
  <c r="R23" i="19" l="1"/>
  <c r="M137" i="9"/>
  <c r="M129" i="9"/>
  <c r="M241" i="9"/>
  <c r="M208" i="9"/>
  <c r="M219" i="9" s="1"/>
  <c r="B277" i="11"/>
  <c r="B19" i="32" l="1"/>
  <c r="B24" i="32" s="1"/>
  <c r="D11" i="27"/>
  <c r="D13" i="27" s="1"/>
  <c r="M235" i="9"/>
  <c r="M236" i="9" s="1"/>
  <c r="M244" i="9" s="1"/>
  <c r="M132" i="9"/>
  <c r="M243" i="9" l="1"/>
  <c r="M168" i="9" s="1"/>
  <c r="M113" i="9" s="1"/>
  <c r="M133" i="9"/>
  <c r="M134" i="9" s="1"/>
  <c r="M246" i="9"/>
  <c r="M169" i="9"/>
  <c r="N88" i="9"/>
  <c r="N100" i="9"/>
  <c r="N105" i="9" s="1"/>
  <c r="N107" i="9" s="1"/>
  <c r="E7" i="27" s="1"/>
  <c r="E10" i="27" s="1"/>
  <c r="O88" i="9"/>
  <c r="O100" i="9"/>
  <c r="O105" i="9" s="1"/>
  <c r="O107" i="9" s="1"/>
  <c r="F7" i="27" s="1"/>
  <c r="Q88" i="9"/>
  <c r="Q100" i="9"/>
  <c r="Q105" i="9" s="1"/>
  <c r="Q107" i="9" s="1"/>
  <c r="P88" i="9"/>
  <c r="P100" i="9"/>
  <c r="P105" i="9" s="1"/>
  <c r="P107" i="9" s="1"/>
  <c r="F10" i="27" l="1"/>
  <c r="P121" i="9"/>
  <c r="P109" i="9"/>
  <c r="P108" i="9"/>
  <c r="O108" i="9"/>
  <c r="O109" i="9"/>
  <c r="O121" i="9"/>
  <c r="O123" i="9" s="1"/>
  <c r="N109" i="9"/>
  <c r="N110" i="9" s="1"/>
  <c r="C9" i="32" s="1"/>
  <c r="N121" i="9"/>
  <c r="N108" i="9"/>
  <c r="Q121" i="9"/>
  <c r="Q108" i="9"/>
  <c r="Q109" i="9"/>
  <c r="Q110" i="9" l="1"/>
  <c r="P110" i="9"/>
  <c r="O122" i="9"/>
  <c r="O128" i="9"/>
  <c r="O137" i="9" s="1"/>
  <c r="C17" i="33" s="1"/>
  <c r="N123" i="9"/>
  <c r="N128" i="9" s="1"/>
  <c r="N122" i="9"/>
  <c r="Q123" i="9"/>
  <c r="Q128" i="9" s="1"/>
  <c r="Q122" i="9"/>
  <c r="O110" i="9"/>
  <c r="D9" i="32" s="1"/>
  <c r="P122" i="9"/>
  <c r="P123" i="9"/>
  <c r="P128" i="9" s="1"/>
  <c r="F11" i="27" l="1"/>
  <c r="D19" i="32"/>
  <c r="D24" i="32" s="1"/>
  <c r="N137" i="9"/>
  <c r="S13" i="19"/>
  <c r="P137" i="9"/>
  <c r="P208" i="9"/>
  <c r="P219" i="9" s="1"/>
  <c r="P235" i="9" s="1"/>
  <c r="P129" i="9"/>
  <c r="P241" i="9"/>
  <c r="O129" i="9"/>
  <c r="O208" i="9"/>
  <c r="O219" i="9" s="1"/>
  <c r="O235" i="9" s="1"/>
  <c r="O241" i="9"/>
  <c r="N241" i="9"/>
  <c r="N208" i="9"/>
  <c r="N219" i="9" s="1"/>
  <c r="N235" i="9" s="1"/>
  <c r="N129" i="9"/>
  <c r="Q129" i="9"/>
  <c r="Q137" i="9"/>
  <c r="Q208" i="9"/>
  <c r="Q219" i="9" s="1"/>
  <c r="Q235" i="9" s="1"/>
  <c r="Q241" i="9"/>
  <c r="E11" i="27" l="1"/>
  <c r="C26" i="33"/>
  <c r="T13" i="19"/>
  <c r="T65" i="19" s="1"/>
  <c r="S65" i="19"/>
  <c r="E14" i="27"/>
  <c r="E13" i="27"/>
  <c r="F14" i="27"/>
  <c r="F13" i="27"/>
  <c r="C18" i="33"/>
  <c r="C2" i="25"/>
  <c r="D2" i="25" s="1"/>
  <c r="D5" i="25" s="1"/>
  <c r="H5" i="25" s="1"/>
  <c r="C24" i="32"/>
  <c r="N236" i="9"/>
  <c r="N243" i="9" s="1"/>
  <c r="N168" i="9" s="1"/>
  <c r="S23" i="19"/>
  <c r="O236" i="9"/>
  <c r="O244" i="9" s="1"/>
  <c r="Q236" i="9"/>
  <c r="Q244" i="9" s="1"/>
  <c r="P236" i="9"/>
  <c r="P243" i="9" s="1"/>
  <c r="N138" i="9"/>
  <c r="N132" i="9"/>
  <c r="O132" i="9"/>
  <c r="O138" i="9"/>
  <c r="D14" i="32" s="1"/>
  <c r="Q138" i="9"/>
  <c r="Q132" i="9"/>
  <c r="P138" i="9"/>
  <c r="P132" i="9"/>
  <c r="C27" i="33" l="1"/>
  <c r="B5" i="27"/>
  <c r="B6" i="27" s="1"/>
  <c r="T23" i="19"/>
  <c r="H7" i="27"/>
  <c r="C14" i="32"/>
  <c r="N244" i="9"/>
  <c r="N246" i="9" s="1"/>
  <c r="Q133" i="9"/>
  <c r="Q134" i="9" s="1"/>
  <c r="P244" i="9"/>
  <c r="P246" i="9" s="1"/>
  <c r="Q243" i="9"/>
  <c r="Q246" i="9" s="1"/>
  <c r="O243" i="9"/>
  <c r="O246" i="9" s="1"/>
  <c r="O133" i="9"/>
  <c r="O134" i="9" s="1"/>
  <c r="N113" i="9"/>
  <c r="N169" i="9"/>
  <c r="N133" i="9" l="1"/>
  <c r="N134" i="9" s="1"/>
  <c r="P133" i="9"/>
  <c r="P134" i="9" s="1"/>
  <c r="O168" i="9"/>
  <c r="O113" i="9" s="1"/>
  <c r="O169" i="9" l="1"/>
  <c r="P168" i="9"/>
  <c r="P113" i="9" s="1"/>
  <c r="Q168" i="9" l="1"/>
  <c r="Q169" i="9" s="1"/>
  <c r="P169" i="9"/>
  <c r="Q113" i="9"/>
  <c r="J11" i="15"/>
  <c r="J12" i="15" l="1"/>
  <c r="I6" i="15"/>
  <c r="I7" i="15" s="1"/>
  <c r="J14" i="15"/>
  <c r="J15" i="15" l="1"/>
  <c r="J21" i="15"/>
  <c r="J6" i="15"/>
  <c r="J7" i="15" s="1"/>
  <c r="K11" i="15"/>
  <c r="K14" i="15" l="1"/>
  <c r="K12" i="15"/>
  <c r="K21" i="15"/>
  <c r="L11" i="15"/>
  <c r="L14" i="15" l="1"/>
  <c r="L15" i="15" s="1"/>
  <c r="L12" i="15"/>
  <c r="N11" i="15"/>
  <c r="K15" i="15"/>
  <c r="N14" i="15"/>
  <c r="L21" i="15"/>
  <c r="N21" i="15" l="1"/>
  <c r="K4" i="15"/>
  <c r="K5" i="15" s="1"/>
  <c r="K3" i="15"/>
  <c r="K6" i="15"/>
  <c r="K7" i="15" s="1"/>
  <c r="N2" i="15"/>
  <c r="N6" i="15" s="1"/>
  <c r="L4" i="15"/>
  <c r="L5" i="15" s="1"/>
  <c r="L3" i="15"/>
  <c r="L6" i="15"/>
  <c r="L7" i="15" s="1"/>
  <c r="N4" i="15" l="1"/>
  <c r="T69" i="19" l="1"/>
  <c r="T29" i="19" s="1"/>
  <c r="T32" i="19" s="1"/>
  <c r="T38" i="19" s="1"/>
  <c r="S69" i="19"/>
  <c r="S29" i="19"/>
  <c r="S32" i="19" s="1"/>
  <c r="S38" i="19" s="1"/>
  <c r="R29" i="19"/>
  <c r="R32" i="19" s="1"/>
  <c r="R38" i="19" s="1"/>
  <c r="R40" i="19" l="1"/>
  <c r="R44" i="19"/>
  <c r="S44" i="19"/>
  <c r="C9" i="25" s="1"/>
  <c r="D9" i="25" s="1"/>
  <c r="D12" i="25" s="1"/>
  <c r="H12" i="25" s="1"/>
  <c r="S40" i="19"/>
  <c r="T40" i="19"/>
  <c r="T44" i="19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Ambrose, Charlie</author>
  </authors>
  <commentList>
    <comment ref="A1" authorId="0" shapeId="0" xr:uid="{5E05CD61-44C8-4CD2-BDCA-F21B20A31EE4}">
      <text>
        <r>
          <rPr>
            <b/>
            <sz val="9"/>
            <color indexed="81"/>
            <rFont val="Tahoma"/>
            <family val="2"/>
          </rPr>
          <t>&lt;?xml version="1.0" encoding="utf-8"?&gt;&lt;Schema xmlns:xsd="http://www.w3.org/2001/XMLSchema" xmlns:xsi="http://www.w3.org/2001/XMLSchema-instance" Version="2" Timestamp="1696653964"&gt;&lt;FQL&gt;&lt;Q&gt;HCI^FE_ESTIMATE(EPS,MEAN,STMA,,NOW,,,'')&lt;/Q&gt;&lt;R&gt;1&lt;/R&gt;&lt;C&gt;1&lt;/C&gt;&lt;D xsi:type="xsd:double"&gt;1.9868693&lt;/D&gt;&lt;/FQL&gt;&lt;FQL&gt;&lt;Q&gt;SP50^FG_PE_NTM(0,,,90,0)&lt;/Q&gt;&lt;R&gt;1&lt;/R&gt;&lt;C&gt;1&lt;/C&gt;&lt;D xsi:type="xsd:double"&gt;17.8072353130249&lt;/D&gt;&lt;/FQL&gt;&lt;FQL&gt;&lt;Q&gt;HCI^FE_ESTIMATE(EPS,MEAN,NTMA,,NOW,,,'')&lt;/Q&gt;&lt;R&gt;1&lt;/R&gt;&lt;C&gt;1&lt;/C&gt;&lt;D xsi:type="xsd:double"&gt;3.8345356&lt;/D&gt;&lt;/FQL&gt;&lt;FQL&gt;&lt;Q&gt;HCI-US^FE_ESTIMATE(EPS,MEAN,NTMA,,NOW,,,'')&lt;/Q&gt;&lt;R&gt;1&lt;/R&gt;&lt;C&gt;1&lt;/C&gt;&lt;D xsi:type="xsd:double"&gt;3.8345356&lt;/D&gt;&lt;/FQL&gt;&lt;FQL&gt;&lt;Q&gt;HCI^P_PRICE(0)&lt;/Q&gt;&lt;R&gt;1&lt;/R&gt;&lt;C&gt;1&lt;/C&gt;&lt;D xsi:type="xsd:double"&gt;54.11&lt;/D&gt;&lt;/FQL&gt;&lt;FQL&gt;&lt;Q&gt;SP50^FG_NAME_IDX&lt;/Q&gt;&lt;R&gt;1&lt;/R&gt;&lt;C&gt;1&lt;/C&gt;&lt;D xsi:type="xsd:string"&gt;S&amp;amp;P 500&lt;/D&gt;&lt;/FQL&gt;&lt;FQL&gt;&lt;Q&gt;HCI^FG_COMPANY_NAME&lt;/Q&gt;&lt;R&gt;1&lt;/R&gt;&lt;C&gt;1&lt;/C&gt;&lt;D xsi:type="xsd:string"&gt;HCI Group, Inc.&lt;/D&gt;&lt;/FQL&gt;&lt;FQL&gt;&lt;Q&gt;HCI^OS_SEC_SI_PCTFLT(0D)&lt;/Q&gt;&lt;R&gt;1&lt;/R&gt;&lt;C&gt;1&lt;/C&gt;&lt;D xsi:type="xsd:double"&gt;20.1372071160279&lt;/D&gt;&lt;/FQL&gt;&lt;FQL&gt;&lt;Q&gt;HCI^FF_INSID_PCT_CURR&lt;/Q&gt;&lt;R&gt;1&lt;/R&gt;&lt;C&gt;1&lt;/C&gt;&lt;D xsi:type="xsd:double"&gt;0.301733&lt;/D&gt;&lt;/FQL&gt;&lt;FQL&gt;&lt;Q&gt;HCI^FF_ROIC(ANN_R,0)&lt;/Q&gt;&lt;R&gt;1&lt;/R&gt;&lt;C&gt;1&lt;/C&gt;&lt;D xsi:type="xsd:double"&gt;-14.5348545537598&lt;/D&gt;&lt;/FQL&gt;&lt;FQL&gt;&lt;Q&gt;HCI^FF_ROE(ANN_R,0)&lt;/Q&gt;&lt;R&gt;1&lt;/R&gt;&lt;C&gt;1&lt;/C&gt;&lt;D xsi:type="xsd:double"&gt;-22.6553159615689&lt;/D&gt;&lt;/FQL&gt;&lt;FQL&gt;&lt;Q&gt;HCI^FF_ROA(ANN_R,0)&lt;/Q&gt;&lt;R&gt;1&lt;/R&gt;&lt;C&gt;1&lt;/C&gt;&lt;D xsi:type="xsd:double"&gt;-5.06788496726009&lt;/D&gt;&lt;/FQL&gt;&lt;FQL&gt;&lt;Q&gt;HCI^FE_ESTIMATE(SALES,MEAN,ANN_ROLL,+3,NOW,,,'')&lt;/Q&gt;&lt;R&gt;0&lt;/R&gt;&lt;C&gt;0&lt;/C&gt;&lt;/FQL&gt;&lt;FQL&gt;&lt;Q&gt;HCI^FE_ESTIMATE(SALES,MEAN,ANN_ROLL,+2,NOW,,,'')&lt;/Q&gt;&lt;R&gt;1&lt;/R&gt;&lt;C&gt;1&lt;/C&gt;&lt;D xsi:type="xsd:double"&gt;557.407&lt;/D&gt;&lt;/FQL&gt;&lt;FQL&gt;&lt;Q&gt;HCI^FE_ESTIMATE(SALES,MEAN,ANN_ROLL,+1,NOW,,,'')&lt;/Q&gt;&lt;R&gt;1&lt;/R&gt;&lt;C&gt;1&lt;/C&gt;&lt;D xsi:type="xsd:double"&gt;506.42233&lt;/D&gt;&lt;/FQL&gt;&lt;FQL&gt;&lt;Q&gt;HCI^P_DIV_YLD&lt;/Q&gt;&lt;R&gt;1&lt;/R&gt;&lt;C&gt;1&lt;/C&gt;&lt;D xsi:type="xsd:double"&gt;2.9569395&lt;/D&gt;&lt;/FQL&gt;&lt;FQL&gt;&lt;Q&gt;HCI^FF_ENTRPR_VAL_DAILY(0,,,,,"DIL")&lt;/Q&gt;&lt;R&gt;1&lt;/R&gt;&lt;C&gt;1&lt;/C&gt;&lt;D xsi:type="xsd:double"&gt;598.94331&lt;/D&gt;&lt;/FQL&gt;&lt;FQL&gt;&lt;Q&gt;HCI^FREF_MARKET_VALUE_COMPANY(0,,,,,0,,"LEGACY")&lt;/Q&gt;&lt;R&gt;1&lt;/R&gt;&lt;C&gt;1&lt;/C&gt;&lt;D xsi:type="xsd:double"&gt;464.88004793023&lt;/D&gt;&lt;/FQL&gt;&lt;FQL&gt;&lt;Q&gt;HCI^FF_PRICE_HIGH_52WK&lt;/Q&gt;&lt;R&gt;1&lt;/R&gt;&lt;C&gt;1&lt;/C&gt;&lt;D xsi:type="xsd:double"&gt;70&lt;/D&gt;&lt;/FQL&gt;&lt;FQL&gt;&lt;Q&gt;HCI^FF_PRICE_LOW_52WK&lt;/Q&gt;&lt;R&gt;1&lt;/R&gt;&lt;C&gt;1&lt;/C&gt;&lt;D xsi:type="xsd:double"&gt;27.65&lt;/D&gt;&lt;/FQL&gt;&lt;FQL&gt;&lt;Q&gt;HCI^FE_TIMESERIES(FCF,MEAN,0FY,0FY,FY,'BKRACTMED=1,WIN=0,CURRENCY=USD,UNITS=AUTO,DATE=NOW')&lt;/Q&gt;&lt;R&gt;0&lt;/R&gt;&lt;C&gt;0&lt;/C&gt;&lt;/FQL&gt;&lt;FQL&gt;&lt;Q&gt;HCI^FE_TIMESERIES(FCF,MEAN,-1FY,-1FY,FY,'BKRACTMED=1,WIN=0,CURRENCY=USD,UNITS=AUTO,DATE=NOW')&lt;/Q&gt;&lt;R&gt;0&lt;/R&gt;&lt;C&gt;0&lt;/C&gt;&lt;/FQL&gt;&lt;FQL&gt;&lt;Q&gt;HCI^FE_TIMESERIES(FCF,MEAN,-2FY,-2FY,FY,'BKRACTMED=1,WIN=0,CURRENCY=USD,UNITS=AUTO,DATE=NOW')&lt;/Q&gt;&lt;R&gt;0&lt;/R&gt;&lt;C&gt;0&lt;/C&gt;&lt;/FQL&gt;&lt;FQL&gt;&lt;Q&gt;HCI^FE_TIMESERIES(FCF,MEAN,-3FY,-3FY,FY,'BKRACTMED=1,WIN=0,CURRENCY=USD,UNITS=AUTO,DATE=NOW')&lt;/Q&gt;&lt;R&gt;0&lt;/R&gt;&lt;C&gt;0&lt;/C&gt;&lt;/FQL&gt;&lt;FQL&gt;&lt;Q&gt;HCI^FE_TIMESERIES(FCF,MEAN,-4FY,-4FY,FY,'BKRACTMED=1,WIN=0,CURRENCY=USD,UNITS=AUTO,DATE=NOW')&lt;/Q&gt;&lt;R&gt;0&lt;/R&gt;&lt;C&gt;0&lt;/C&gt;&lt;/FQL&gt;&lt;FQL&gt;&lt;Q&gt;HCI^FE_TIMESERIES(FCF,MEAN,-5FY,-5FY,FY,'BKRACTMED=1,WIN=0,CURRENCY=USD,UNITS=AUTO,DATE=NOW')&lt;/Q&gt;&lt;R&gt;0&lt;/R&gt;&lt;C&gt;0&lt;/C&gt;&lt;/FQL&gt;&lt;FQL&gt;&lt;Q&gt;HCI^FE_TIMESERIES(FCF,MEAN,-6FY,-6FY,FY,'BKRACTMED=1,WIN=0,CURRENCY=USD,UNITS=AUTO,DATE=NOW')&lt;/Q&gt;&lt;R&gt;0&lt;/R&gt;&lt;C&gt;0&lt;/C&gt;&lt;/FQL&gt;&lt;FQL&gt;&lt;Q&gt;HCI^FE_TIMESERIES(FCF,MEAN,-7FY,-7FY,FY,'BKRACTMED=1,WIN=0,CURRENCY=USD,UNITS=AUTO,DATE=NOW')&lt;/Q&gt;&lt;R&gt;0&lt;/R&gt;&lt;C&gt;0&lt;/C&gt;&lt;/FQL&gt;&lt;FQL&gt;&lt;Q&gt;HCI^FE_TIMESERIES(FCF,MEAN,-8FY,-8FY,FY,'BKRACTMED=1,WIN=0,CURRENCY=USD,UNITS=AUTO,DATE=NOW')&lt;/Q&gt;&lt;R&gt;0&lt;/R&gt;&lt;C&gt;0&lt;/C&gt;&lt;/FQL&gt;&lt;FQL&gt;&lt;Q&gt;HCI^FE_TIMESERIES(FCF,MEAN,-9FY,-9FY,FY,'BKRACTMED=1,WIN=0,CURRENCY=USD,UNITS=AUTO,DATE=NOW')&lt;/Q&gt;&lt;R&gt;0&lt;/R&gt;&lt;C&gt;0&lt;/C&gt;&lt;/FQL&gt;&lt;FQL&gt;&lt;Q&gt;HCI^FE_TIMESERIES(FCF,MEAN,-10FY,-10FY,FY,'BKRACTMED=1,WIN=0,CURRENCY=USD,UNITS=AUTO,DATE=NOW')&lt;/Q&gt;&lt;R&gt;0&lt;/R&gt;&lt;C&gt;0&lt;/C&gt;&lt;/FQL&gt;&lt;FQL&gt;&lt;Q&gt;HCI^FE_TIMESERIES(CFF,MEAN,0FY,0FY,FY,'BKRACTMED=1,WIN=0,CURRENCY=USD,UNITS=AUTO,DATE=NOW')&lt;/Q&gt;&lt;R&gt;0&lt;/R&gt;&lt;C&gt;0&lt;/C&gt;&lt;/FQL&gt;&lt;FQL&gt;&lt;Q&gt;HCI^FE_TIMESERIES(CFF,MEAN,-1FY,-1FY,FY,'BKRACTMED=1,WIN=0,CURRENCY=USD,UNITS=AUTO,DATE=NOW')&lt;/Q&gt;&lt;R&gt;0&lt;/R&gt;&lt;C&gt;0&lt;/C&gt;&lt;/FQL&gt;&lt;FQL&gt;&lt;Q&gt;HCI^FE_TIMESERIES(CFF,MEAN,-2FY,-2FY,FY,'BKRACTMED=1,WIN=0,CURRENCY=USD,UNITS=AUTO,DATE=NOW')&lt;/Q&gt;&lt;R&gt;0&lt;/R&gt;&lt;C&gt;0&lt;/C&gt;&lt;/FQL&gt;&lt;FQL&gt;&lt;Q&gt;HCI^FE_TIMESERIES(CFF,MEAN,-3FY,-3FY,FY,'BKRACTMED=1,WIN=0,CURRENCY=USD,UNITS=AUTO,DATE=NOW')&lt;/Q&gt;&lt;R&gt;0&lt;/R&gt;&lt;C&gt;0&lt;/C&gt;&lt;/FQL&gt;&lt;FQL&gt;&lt;Q&gt;HCI^FE_TIMESERIES(CFF,MEAN,-4FY,-4FY,FY,'BKRACTMED=1,WIN=0,CURRENCY=USD,UNITS=AUTO,DATE=NOW')&lt;/Q&gt;&lt;R&gt;0&lt;/R&gt;&lt;C&gt;0&lt;/C&gt;&lt;/FQL&gt;&lt;FQL&gt;&lt;Q&gt;HCI^FE_TIMESERIES(CFF,MEAN,-5FY,-5FY,FY,'BKRACTMED=1,WIN=0,CURRENCY=USD,UNITS=AUTO,DATE=NOW')&lt;/Q&gt;&lt;R&gt;0&lt;/R&gt;&lt;C&gt;0&lt;/C&gt;&lt;/FQL&gt;&lt;FQL&gt;&lt;Q&gt;HCI^FE_TIMESERIES(CFF,MEAN,-6FY,-6FY,FY,'BKRACTMED=1,WIN=0,CURRENCY=USD,UNITS=AUTO,DATE=NOW')&lt;/Q&gt;&lt;R&gt;0&lt;/R&gt;&lt;C&gt;0&lt;/C&gt;&lt;/FQL&gt;&lt;FQL&gt;&lt;Q&gt;HCI^FE_TIMESERIES(CFF,MEAN,-7FY,-7FY,FY,'BKRACTMED=1,WIN=0,CURRENCY=USD,UNITS=AUTO,DATE=NOW')&lt;/Q&gt;&lt;R&gt;0&lt;/R&gt;&lt;C&gt;0&lt;/C&gt;&lt;/FQL&gt;&lt;FQL&gt;&lt;Q&gt;HCI^FE_TIMESERIES(CFF,MEAN,-8FY,-8FY,FY,'BKRACTMED=1,WIN=0,CURRENCY=USD,UNITS=AUTO,DATE=NOW')&lt;/Q&gt;&lt;R&gt;0&lt;/R&gt;&lt;C&gt;0&lt;/C&gt;&lt;/FQL&gt;&lt;FQL&gt;&lt;Q&gt;HCI^FE_TIMESERIES(CFF,MEAN,-9FY,-9FY,FY,'BKRACTMED=1,WIN=0,CURRENCY=USD,UNITS=AUTO,DATE=NOW')&lt;/Q&gt;&lt;R&gt;0&lt;/R&gt;&lt;C&gt;0&lt;/C&gt;&lt;/FQL&gt;&lt;FQL&gt;&lt;Q&gt;HCI^FE_TIMESERIES(CFF,MEAN,-10FY,-10FY,FY,'BKRACTMED=1,WIN=0,CURRENCY=USD,UNITS=AUTO,DATE=NOW')&lt;/Q&gt;&lt;R&gt;1&lt;/R&gt;&lt;C&gt;1&lt;/C&gt;&lt;D xsi:type="xsd:double"&gt;24.799&lt;/D&gt;&lt;/FQL&gt;&lt;FQL&gt;&lt;Q&gt;HCI^FE_TIMESERIES(CFI,MEAN,0FY,0FY,FY,'BKRACTMED=1,WIN=0,CURRENCY=USD,UNITS=AUTO,DATE=NOW')&lt;/Q&gt;&lt;R&gt;0&lt;/R&gt;&lt;C&gt;0&lt;/C&gt;&lt;/FQL&gt;&lt;FQL&gt;&lt;Q&gt;HCI^FE_TIMESERIES(CFI,MEAN,-1FY,-1FY,FY,'BKRACTMED=1,WIN=0,CURRENCY=USD,UNITS=AUTO,DATE=NOW')&lt;/Q&gt;&lt;R&gt;0&lt;/R&gt;&lt;C&gt;0&lt;/C&gt;&lt;/FQL&gt;&lt;FQL&gt;&lt;Q&gt;HCI^FE_TIMESERIES(CFI,MEAN,-2FY,-2FY,FY,'BKRACTMED=1,WIN=0,CURRENCY=USD,UNITS=AUTO,DATE=NOW')&lt;/Q&gt;&lt;R&gt;0&lt;/R&gt;&lt;C&gt;0&lt;/C&gt;&lt;/FQL&gt;&lt;FQL&gt;&lt;Q&gt;HCI^FE_TIMESERIES(CFI,MEAN,-3FY,-3FY,FY,'BKRACTMED=1,WIN=0,CURRENCY=USD,UNITS=AUTO,DATE=NOW')&lt;/Q&gt;&lt;R&gt;0&lt;/R&gt;&lt;C&gt;0&lt;/C&gt;&lt;/FQL&gt;&lt;FQL&gt;&lt;Q&gt;HCI^FE_TIMESERIES(CFI,MEAN,-4FY,-4FY,FY,'BKRACTMED=1,WIN=0,CURRENCY=USD,UNITS=AUTO,DATE=NOW')&lt;/Q&gt;&lt;R&gt;0&lt;/R&gt;&lt;C&gt;0&lt;/C&gt;&lt;/FQL&gt;&lt;FQL&gt;&lt;Q&gt;HCI^FE_TIMESERIES(CFI,MEAN,-5FY,-5FY,FY,'BKRACTMED=1,WIN=0,CURRENCY=USD,UNITS=AUTO,DATE=NOW')&lt;/Q&gt;&lt;R&gt;0&lt;/R&gt;&lt;C&gt;0&lt;/C&gt;&lt;/FQL&gt;&lt;FQL&gt;&lt;Q&gt;HCI^FE_TIMESERIES(CFI,MEAN,-6FY,-6FY,FY,'BKRACTMED=1,WIN=0,CURRENCY=USD,UNITS=AUTO,DATE=NOW')&lt;/Q&gt;&lt;R&gt;0&lt;/R&gt;&lt;C&gt;0&lt;/C&gt;&lt;/FQL&gt;&lt;FQL&gt;&lt;Q&gt;HCI^FE_TIMESERIES(CFI,MEAN,-7FY,-7FY,FY,'BKRACTMED=1,WIN=0,CURRENCY=USD,UNITS=AUTO,DATE=NOW')&lt;/Q&gt;&lt;R&gt;0&lt;/R&gt;&lt;C&gt;0&lt;/C&gt;&lt;/FQL&gt;&lt;FQL&gt;&lt;Q&gt;HCI^FE_TIMESERIES(CFI,MEAN,-8FY,-8FY,FY,'BKRACTMED=1,WIN=0,CURRENCY=USD,UNITS=AUTO,DATE=NOW')&lt;/Q&gt;&lt;R&gt;0&lt;/R&gt;&lt;C&gt;0&lt;/C&gt;&lt;/FQL&gt;&lt;FQL&gt;&lt;Q&gt;HCI^FE_TIMESERIES(CFI,MEAN,-9FY,-9FY,FY,'BKRACTMED=1,WIN=0,CURRENCY=USD,UNITS=AUTO,DATE=NOW')&lt;/Q&gt;&lt;R&gt;0&lt;/R&gt;&lt;C&gt;0&lt;/C&gt;&lt;/FQL&gt;&lt;FQL&gt;&lt;Q&gt;HCI^FE_TIMESERIES(CFI,MEAN,-10FY,-10FY,FY,'BKRACTMED=1,WIN=0,CURRENCY=USD,UNITS=AUTO,DATE=NOW')&lt;/Q&gt;&lt;R&gt;1&lt;/R&gt;&lt;C&gt;1&lt;/C&gt;&lt;D xsi:type="xsd:double"&gt;-1.211&lt;/D&gt;&lt;/FQL&gt;&lt;FQL&gt;&lt;Q&gt;HCI^FE_TIMESERIES(CAPEX,MEAN,0FY,0FY,FY,'BKRACTMED=1,WIN=0,CURRENCY=USD,UNITS=AUTO,DATE=NOW')&lt;/Q&gt;&lt;R&gt;0&lt;/R&gt;&lt;C&gt;0&lt;/C&gt;&lt;/FQL&gt;&lt;FQL&gt;&lt;Q&gt;HCI^FE_TIMESERIES(CAPEX,MEAN,-1FY,-1FY,FY,'BKRACTMED=1,WIN=0,CURRENCY=USD,UNITS=AUTO,DATE=NOW')&lt;/Q&gt;&lt;R&gt;0&lt;/R&gt;&lt;C&gt;0&lt;/C&gt;&lt;/FQL&gt;&lt;FQL&gt;&lt;Q&gt;HCI^FE_TIMESERIES(CAPEX,MEAN,-2FY,-2FY,FY,'BKRACTMED=1,WIN=0,CURRENCY=USD,UNITS=AUTO,DATE=NOW')&lt;/Q&gt;&lt;R&gt;0&lt;/R&gt;&lt;C&gt;0&lt;/C&gt;&lt;/FQL&gt;&lt;FQL&gt;&lt;Q&gt;HCI^FE_TIMESERIES(CAPEX,MEAN,-3FY,-3FY,FY,'BKRACTMED=1,WIN=0,CURRENCY=USD,UNITS=AUTO,DATE=NOW')&lt;/Q&gt;&lt;R&gt;0&lt;/R&gt;&lt;C&gt;0&lt;/C&gt;&lt;/FQL&gt;&lt;FQL&gt;&lt;Q&gt;HCI^FE_TIMESERIES(CAPEX,MEAN,-4FY,-4FY,FY,'BKRACTMED=1,WIN=0,CURRENCY=USD,UNITS=AUTO,DATE=NOW')&lt;/Q&gt;&lt;R&gt;0&lt;/R&gt;&lt;C&gt;0&lt;/C&gt;&lt;/FQL&gt;&lt;FQL&gt;&lt;Q&gt;HCI^FE_TIMESERIES(CAPEX,MEAN,-5FY,-5FY,FY,'BKRACTMED=1,WIN=0,CURRENCY=USD,UNITS=AUTO,DATE=NOW')&lt;/Q&gt;&lt;R&gt;0&lt;/R&gt;&lt;C&gt;0&lt;/C&gt;&lt;/FQL&gt;&lt;FQL&gt;&lt;Q&gt;HCI^FE_TIMESERIES(CAPEX,MEAN,-6FY,-6FY,FY,'BKRACTMED=1,WIN=0,CURRENCY=USD,UNITS=AUTO,DATE=NOW')&lt;/Q&gt;&lt;R&gt;0&lt;/R&gt;&lt;C&gt;0&lt;/C&gt;&lt;/FQL&gt;&lt;FQL&gt;&lt;Q&gt;HCI^FE_TIMESERIES(CAPEX,MEAN,-7FY,-7FY,FY,'BKRACTMED=1,WIN=0,CURRENCY=USD,UNITS=AUTO,DATE=NOW')&lt;/Q&gt;&lt;R&gt;0&lt;/R&gt;&lt;C&gt;0&lt;/C&gt;&lt;/FQL&gt;&lt;FQL&gt;&lt;Q&gt;HCI^FE_TIMESERIES(CAPEX,MEAN,-8FY,-8FY,FY,'BKRACTMED=1,WIN=0,CURRENCY=USD,UNITS=AUTO,DATE=NOW')&lt;/Q&gt;&lt;R&gt;0&lt;/R&gt;&lt;C&gt;0&lt;/C&gt;&lt;/FQL&gt;&lt;FQL&gt;&lt;Q&gt;HCI^FE_TIMESERIES(CAPEX,MEAN,-9FY,-9FY,FY,'BKRACTMED=1,WIN=0,CURRENCY=USD,UNITS=AUTO,DATE=NOW')&lt;/Q&gt;&lt;R&gt;0&lt;/R&gt;&lt;C&gt;0&lt;/C&gt;&lt;/FQL&gt;&lt;FQL&gt;&lt;Q&gt;HCI^FE_TIMESERIES(CAPEX,MEAN,-10FY,-10FY,FY,'BKRACTMED=1,WIN=0,CURRENCY=USD,UNITS=AUTO,DATE=NOW')&lt;/Q&gt;&lt;R&gt;1&lt;/R&gt;&lt;C&gt;1&lt;/C&gt;&lt;D xsi:type="xsd:double"&gt;1.196&lt;/D&gt;&lt;/FQL&gt;&lt;FQL&gt;&lt;Q&gt;HCI^FE_TIMESERIES(CFO,MEAN,0FY,0FY,FY,'BKRACTMED=1,WIN=0,CURRENCY=USD,UNITS=AUTO,DATE=NOW')&lt;/Q&gt;&lt;R&gt;0&lt;/R&gt;&lt;C&gt;0&lt;/C&gt;&lt;/FQL&gt;&lt;FQL&gt;&lt;Q&gt;HCI^FE_TIMESERIES(CFO,MEAN,-1FY,-1FY,FY,'BKRACTMED=1,WIN=0,CURRENCY=USD,UNITS=AUTO,DATE=NOW')&lt;/Q&gt;&lt;R&gt;0&lt;/R&gt;&lt;C&gt;0&lt;/C&gt;&lt;/FQL&gt;&lt;FQL&gt;&lt;Q&gt;HCI^FE_TIMESERIES(CFO,MEAN,-2FY,-2FY,FY,'BKRACTMED=1,WIN=0,CURRENCY=USD,UNITS=AUTO,DATE=NOW')&lt;/Q&gt;&lt;R&gt;0&lt;/R&gt;&lt;C&gt;0&lt;/C&gt;&lt;/FQL&gt;&lt;FQL&gt;&lt;Q&gt;HCI^FE_TIMESERIES(CFO,MEAN,-3FY,-3FY,FY,'BKRACTMED=1,WIN=0,CURRENCY=USD,UNITS=AUTO,DATE=NOW')&lt;/Q&gt;&lt;R&gt;0&lt;/R&gt;&lt;C&gt;0&lt;/C&gt;&lt;/FQL&gt;&lt;FQL&gt;&lt;Q&gt;HCI^FE_TIMESERIES(CFO,MEAN,-4FY,-4FY,FY,'BKRACTMED=1,WIN=0,CURRENCY=USD,UNITS=AUTO,DATE=NOW')&lt;/Q&gt;&lt;R&gt;0&lt;/R&gt;&lt;C&gt;0&lt;/C&gt;&lt;/FQL&gt;&lt;FQL&gt;&lt;Q&gt;HCI^FE_TIMESERIES(CFO,MEAN,-5FY,-5FY,FY,'BKRACTMED=1,WIN=0,CURRENCY=USD,UNITS=AUTO,DATE=NOW')&lt;/Q&gt;&lt;R&gt;0&lt;/R&gt;&lt;C&gt;0&lt;/C&gt;&lt;/FQL&gt;&lt;FQL&gt;&lt;Q&gt;HCI^FE_TIMESERIES(CFO,MEAN,-6FY,-6FY,FY,'BKRACTMED=1,WIN=0,CURRENCY=USD,UNITS=AUTO,DATE=NOW')&lt;/Q&gt;&lt;R&gt;0&lt;/R&gt;&lt;C&gt;0&lt;/C&gt;&lt;/FQL&gt;&lt;FQL&gt;&lt;Q&gt;HCI^FE_TIMESERIES(CFO,MEAN,-7FY,-7FY,FY,'BKRACTMED=1,WIN=0,CURRENCY=USD,UNITS=AUTO,DATE=NOW')&lt;/Q&gt;&lt;R&gt;0&lt;/R&gt;&lt;C&gt;0&lt;/C&gt;&lt;/FQL&gt;&lt;FQL&gt;&lt;Q&gt;HCI^FE_TIMESERIES(CFO,MEAN,-8FY,-8FY,FY,'BKRACTMED=1,WIN=0,CURRENCY=USD,UNITS=AUTO,DATE=NOW')&lt;/Q&gt;&lt;R&gt;0&lt;/R&gt;&lt;C&gt;0&lt;/C&gt;&lt;/FQL&gt;&lt;FQL&gt;&lt;Q&gt;HCI^FE_TIMESERIES(CFO,MEAN,-9FY,-9FY,FY,'BKRACTMED=1,WIN=0,CURRENCY=USD,UNITS=AUTO,DATE=NOW')&lt;/Q&gt;&lt;R&gt;0&lt;/R&gt;&lt;C&gt;0&lt;/C&gt;&lt;/FQL&gt;&lt;FQL&gt;&lt;Q&gt;HCI^FE_TIMESERIES(CFO,MEAN,-10FY,-10FY,FY,'BKRACTMED=1,WIN=0,CURRENCY=USD,UNITS=AUTO,DATE=NOW')&lt;/Q&gt;&lt;R&gt;1&lt;/R&gt;&lt;C&gt;1&lt;/C&gt;&lt;D xsi:type="xsd:double"&gt;106.266&lt;/D&gt;&lt;/FQL&gt;&lt;FQL&gt;&lt;Q&gt;HCI^FE_TIMESERIES(DEPR_AMORT,MEAN,0FY,0FY,FY,'BKRACTMED=1,WIN=0,CURRENCY=USD,UNITS=AUTO,DATE=NOW')&lt;/Q&gt;&lt;R&gt;0&lt;/R&gt;&lt;C&gt;0&lt;/C&gt;&lt;/FQL&gt;&lt;FQL&gt;&lt;Q&gt;HCI^FE_TIMESERIES(DEPR_AMORT,MEAN,-1FY,-1FY,FY,'BKRACTMED=1,WIN=0,CURRENCY=USD,UNITS=AUTO,DATE=NOW')&lt;/Q&gt;&lt;R&gt;0&lt;/R&gt;&lt;C&gt;0&lt;/C&gt;&lt;/FQL&gt;&lt;FQL&gt;&lt;Q&gt;HCI^FE_TIMESERIES(DEPR_AMORT,MEAN,-2FY,-2FY,FY,'BKRACTMED=1,WIN=0,CURRENCY=USD,UNITS=AUTO,DATE=NOW')&lt;/Q&gt;&lt;R&gt;0&lt;/R&gt;&lt;C&gt;0&lt;/C&gt;&lt;/FQL&gt;&lt;FQL&gt;&lt;Q&gt;HCI^FE_TIMESERIES(DEPR_AMORT,MEAN,-3FY,-3FY,FY,'BKRACTMED=1,WIN=0,CURRENCY=USD,UNITS=AUTO,DATE=NOW')&lt;/Q&gt;&lt;R&gt;0&lt;/R&gt;&lt;C&gt;0&lt;/C&gt;&lt;/FQL&gt;&lt;FQL&gt;&lt;Q&gt;HCI^FE_TIMESERIES(DEPR_AMORT,MEAN,-4FY,-4FY,FY,'BKRACTMED=1,WIN=0,CURRENCY=USD,UNITS=AUTO,DATE=NOW')&lt;/Q&gt;&lt;R&gt;0&lt;/R&gt;&lt;C&gt;0&lt;/C&gt;&lt;/FQL&gt;&lt;FQL&gt;&lt;Q&gt;HCI^FE_TIMESERIES(DEPR_AMORT,MEAN,-5FY,-5FY,FY,'BKRACTMED=1,WIN=0,CURRENCY=USD,UNITS=AUTO,DATE=NOW')&lt;/Q&gt;&lt;R&gt;0&lt;/R&gt;&lt;C&gt;0&lt;/C&gt;&lt;/FQL&gt;&lt;FQL&gt;&lt;Q&gt;HCI^FE_TIMESERIES(DEPR_AMORT,MEAN,-6FY,-6FY,FY,'BKRACTMED=1,WIN=0,CURRENCY=USD,UNITS=AUTO,DATE=NOW')&lt;/Q&gt;&lt;R&gt;0&lt;/R&gt;&lt;C&gt;0&lt;/C&gt;&lt;/FQL&gt;&lt;FQL&gt;&lt;Q&gt;HCI^FE_TIMESERIES(DEPR_AMORT,MEAN,-7FY,-7FY,FY,'BKRACTMED=1,WIN=0,CURRENCY=USD,UNITS=AUTO,DATE=NOW')&lt;/Q&gt;&lt;R&gt;0&lt;/R&gt;&lt;C&gt;0&lt;/C&gt;&lt;/FQL&gt;&lt;FQL&gt;&lt;Q&gt;HCI^FE_TIMESERIES(DEPR_AMORT,MEAN,-8FY,-8FY,FY,'BKRACTMED=1,WIN=0,CURRENCY=USD,UNITS=AUTO,DATE=NOW')&lt;/Q&gt;&lt;R&gt;0&lt;/R&gt;&lt;C&gt;0&lt;/C&gt;&lt;/FQL&gt;&lt;FQL&gt;&lt;Q&gt;HCI^FE_TIMESERIES(DEPR_AMORT,MEAN,-9FY,-9FY,FY,'BKRACTMED=1,WIN=0,CURRENCY=USD,UNITS=AUTO,DATE=NOW')&lt;/Q&gt;&lt;R&gt;0&lt;/R&gt;&lt;C&gt;0&lt;/C&gt;&lt;/FQL&gt;&lt;FQL&gt;&lt;Q&gt;HCI^FE_TIMESERIES(DEPR_AMORT,MEAN,-10FY,-10FY,FY,'BKRACTMED=1,WIN=0,CURRENCY=USD,UNITS=AUTO,DATE=NOW')&lt;/Q&gt;&lt;R&gt;0&lt;/R&gt;&lt;C&gt;0&lt;/C&gt;&lt;/FQL&gt;&lt;FQL&gt;&lt;Q&gt;HCI^FE_TIMESERIES(NETPROFIT,MEAN,0FY,0FY,FY,'BKRACTMED=1,WIN=0,CURRENCY=USD,UNITS=AUTO,DATE=NOW')&lt;/Q&gt;&lt;R&gt;1&lt;/R&gt;&lt;C&gt;1&lt;/C&gt;&lt;D xsi:type="xsd:double"&gt;-54.603&lt;/D&gt;&lt;/FQL&gt;&lt;FQL&gt;&lt;Q&gt;HCI^FE_TIMESERIES(NETPROFIT,MEAN,-1FY,-1FY,FY,'BKRACTMED=1,WIN=0,CURRENCY=USD,UNITS=AUTO,DATE=NOW')&lt;/Q&gt;&lt;R&gt;1&lt;/R&gt;&lt;C&gt;1&lt;/C&gt;&lt;D xsi:type="xsd:double"&gt;7.242&lt;/D&gt;&lt;/FQL&gt;&lt;FQL&gt;&lt;Q&gt;HCI^FE_TIMESERIES(NETPROFIT,MEAN,-2FY,-2FY,FY,'BKRACTMED=1,WIN=0,CURRENCY=USD,UNITS=AUTO,DATE=NOW')&lt;/Q&gt;&lt;R&gt;1&lt;/R&gt;&lt;C&gt;1&lt;/C&gt;&lt;D xsi:type="xsd:double"&gt;27.58&lt;/D&gt;&lt;/FQL&gt;&lt;FQL&gt;&lt;Q&gt;HCI^FE_TIMESERIES(NETPROFIT,MEAN,-3FY,-3FY,FY,'BKRACTMED=1,WIN=0,CURRENCY=USD,UNITS=AUTO,DATE=NOW')&lt;/Q&gt;&lt;R&gt;1&lt;/R&gt;&lt;C&gt;1&lt;/C&gt;&lt;D xsi:type="xsd:double"&gt;26.576&lt;/D&gt;&lt;/FQL&gt;&lt;FQL&gt;&lt;Q&gt;HCI^FE_TIMESERIES(NETPROFIT,MEAN,-4FY,-4FY,FY,'BKRACTMED=1,WIN=0,CURRENCY=USD,UNITS=AUTO,DATE=NOW')&lt;/Q&gt;&lt;R&gt;1&lt;/R&gt;&lt;C&gt;1&lt;/C&gt;&lt;D xsi:type="xsd:double"&gt;17.725&lt;/D&gt;&lt;/FQL&gt;&lt;FQL&gt;&lt;Q&gt;HCI^FE_TIMESERIES(NETPROFIT,MEAN,-5FY,-5FY,FY,'BKRACTMED=1,WIN=0,CURRENCY=USD,UNITS=AUTO,DATE=NOW')&lt;/Q&gt;&lt;R&gt;1&lt;/R&gt;&lt;C&gt;1&lt;/C&gt;&lt;D xsi:type="xsd:double"&gt;-6.893&lt;/D&gt;&lt;/FQL&gt;&lt;FQL&gt;&lt;Q&gt;HCI^FE_TIMESERIES(NETPROFIT,MEAN,-6FY,-6FY,FY,'BKRACTMED=1,WIN=0,CURRENCY=USD,UNITS=AUTO,DATE=NOW')&lt;/Q&gt;&lt;R&gt;1&lt;/R&gt;&lt;C&gt;1&lt;/C&gt;&lt;D xsi:type="xsd:double"&gt;29.021&lt;/D&gt;&lt;/FQL&gt;&lt;FQL&gt;&lt;Q&gt;HCI^FE_TIMESERIES(NETPROFIT,MEAN,-7FY,-7FY,FY,'BKRACTMED=1,WIN=0,CURRENCY=USD,UNITS=AUTO,DATE=NOW')&lt;/Q&gt;&lt;R&gt;1&lt;/R&gt;&lt;C&gt;1&lt;/C&gt;&lt;D xsi:type="xsd:double"&gt;65.861&lt;/D&gt;&lt;/FQL&gt;&lt;FQL&gt;&lt;Q&gt;HCI^FE_TIMESERIES(NETPROFIT,MEAN,-8FY,-8FY,FY,'BKRACTMED=1,WIN=0,CURRENCY=USD,UNITS=AUTO,DATE=NOW')&lt;/Q&gt;&lt;R&gt;1&lt;/R&gt;&lt;C&gt;1&lt;/C&gt;&lt;D xsi:type="xsd:double"&gt;62.664&lt;/D&gt;&lt;/FQL&gt;&lt;FQL&gt;&lt;Q&gt;HCI^FE_TIMESERIES(NETPROFIT,MEAN,-9FY,-9FY,FY,'BKRACTMED=1,WIN=0,CURRENCY=USD,UNITS=AUTO,DATE=NOW')&lt;/Q&gt;&lt;R&gt;1&lt;/R&gt;&lt;C&gt;1&lt;/C&gt;&lt;D xsi:type="xsd:double"&gt;65.458&lt;/D&gt;&lt;/FQL&gt;&lt;FQL&gt;&lt;Q&gt;HCI^FE_TIMESERIES(NETPROFIT,MEAN,-10FY,-10FY,FY,'BKRACTMED=1,WIN=0,CURRENCY=USD,UNITS=AUTO,DATE=NOW')&lt;/Q&gt;&lt;R&gt;1&lt;/R&gt;&lt;C&gt;1&lt;/C&gt;&lt;D xsi:type="xsd:double"&gt;29.835&lt;/D&gt;&lt;/FQL&gt;&lt;FQL&gt;&lt;Q&gt;HCI^FE_TIMESERIES(SHEQUITY,MEAN,0FY,0FY,FY,'BKRACTMED=1,WIN=0,CURRENCY=USD,UNITS=AUTO,DATE=NOW')&lt;/Q&gt;&lt;R&gt;1&lt;/R&gt;&lt;C&gt;1&lt;/C&gt;&lt;D xsi:type="xsd:double"&gt;162.596&lt;/D&gt;&lt;/FQL&gt;&lt;FQL&gt;&lt;Q&gt;HCI^FE_TIMESERIES(SHEQUITY,MEAN,-1FY,-1FY,FY,'BKRACTMED=1,WIN=0,CURRENCY=USD,UNITS=AUTO,DATE=NOW')&lt;/Q&gt;&lt;R&gt;0&lt;/R&gt;&lt;C&gt;0&lt;/C&gt;&lt;/FQL&gt;&lt;FQL&gt;&lt;Q&gt;HCI^FE_TIMESERIES(SHEQUITY,MEAN,-2FY,-2FY,FY,'BKRACTMED=1,WIN=0,CURRENCY=USD,UNITS=AUTO,DATE=NOW')&lt;/Q&gt;&lt;R&gt;0&lt;/R&gt;&lt;C&gt;0&lt;/C&gt;&lt;/FQL&gt;&lt;FQL&gt;&lt;Q&gt;HCI^FE_TIMESERIES(SHEQUITY,MEAN,-3FY,-3FY,FY,'BKRACTMED=1,WIN=0,CURRENCY=USD,UNITS=AUTO,DATE=NOW')&lt;/Q&gt;&lt;R&gt;0&lt;/R&gt;&lt;C&gt;0&lt;/C&gt;&lt;/FQL&gt;&lt;FQL&gt;&lt;Q&gt;HCI^FE_TIMESERIES(SHEQUITY,MEAN,-4FY,-4FY,FY,'BKRACTMED=1,WIN=0,CURRENCY=USD,UNITS=AUTO,DATE=NOW')&lt;/Q&gt;&lt;R&gt;0&lt;/R&gt;&lt;C&gt;0&lt;/C&gt;&lt;/FQL&gt;&lt;FQL&gt;&lt;Q&gt;HCI^FE_TIMESERIES(SHEQUITY,MEAN,-5FY,-5FY,FY,'BKRACTMED=1,WIN=0,CURRENCY=USD,UNITS=AUTO,DATE=NOW')&lt;/Q&gt;&lt;R&gt;0&lt;/R&gt;&lt;C&gt;0&lt;/C&gt;&lt;/FQL&gt;&lt;FQL&gt;&lt;Q&gt;HCI^FE_TIMESERIES(SHEQUITY,MEAN,-6FY,-6FY,FY,'BKRACTMED=1,WIN=0,CURRENCY=USD,UNITS=AUTO,DATE=NOW')&lt;/Q&gt;&lt;R&gt;0&lt;/R&gt;&lt;C&gt;0&lt;/C&gt;&lt;/FQL&gt;&lt;FQL&gt;&lt;Q&gt;HCI^FE_TIMESERIES(SHEQUITY,MEAN,-7FY,-7FY,FY,'BKRACTMED=1,WIN=0,CURRENCY=USD,UNITS=AUTO,DATE=NOW')&lt;/Q&gt;&lt;R&gt;0&lt;/R&gt;&lt;C&gt;0&lt;/C&gt;&lt;/FQL&gt;&lt;FQL&gt;&lt;Q&gt;HCI^FE_TIMESERIES(SHEQUITY,MEAN,-8FY,-8FY,FY,'BKRACTMED=1,WIN=0,CURRENCY=USD,UNITS=AUTO,DATE=NOW')&lt;/Q&gt;&lt;R&gt;0&lt;/R&gt;&lt;C&gt;0&lt;/C&gt;&lt;/FQL&gt;&lt;FQL&gt;&lt;Q&gt;HCI^FE_TIMESERIES(SHEQUITY,MEAN,-9FY,-9FY,FY,'BKRACTMED=1,WIN=0,CURRENCY=USD,UNITS=AUTO,DATE=NOW')&lt;/Q&gt;&lt;R&gt;1&lt;/R&gt;&lt;C&gt;1&lt;/C&gt;&lt;D xsi:type="xsd:double"&gt;160.5&lt;/D&gt;&lt;/FQL&gt;&lt;FQL&gt;&lt;Q&gt;HCI^FE_TIMESERIES(SHEQUITY,MEAN,-10FY,-10FY,FY,'BKRACTMED=1,WIN=0,CURRENCY=USD,UNITS=AUTO,DATE=NOW')&lt;/Q&gt;&lt;R&gt;1&lt;/R&gt;&lt;C&gt;1&lt;/C&gt;&lt;D xsi:type="xsd:double"&gt;120.755&lt;/D&gt;&lt;/FQL&gt;&lt;FQL&gt;&lt;Q&gt;HCI^FE_TIMESERIES(TOTASSET,MEAN,0FY,0FY,FY,'BKRACTMED=1,WIN=0,CURRENCY=USD,UNITS=AUTO,DATE=NOW')&lt;/Q&gt;&lt;R&gt;1&lt;/R&gt;&lt;C&gt;1&lt;/C&gt;&lt;D xsi:type="xsd:double"&gt;1803.328&lt;/D&gt;&lt;/FQL&gt;&lt;FQL&gt;&lt;Q&gt;HCI^FE_TIMESERIES(TOTASSET,MEAN,-1FY,-1FY,FY,'BKRACTMED=1,WIN=0,CURRENCY=USD,UNITS=AUTO,DATE=NOW')&lt;/Q&gt;&lt;R&gt;0&lt;/R&gt;&lt;C&gt;0&lt;/C&gt;&lt;/FQL&gt;&lt;FQL&gt;&lt;Q&gt;HCI^FE_TIMESERIES(TOTASSET,MEAN,-2FY,-2FY,FY,'BKRACTMED=1,WIN=0,CURRENCY=USD,UNITS=AUTO,DATE=NOW')&lt;/Q&gt;&lt;R&gt;0&lt;/R&gt;&lt;C&gt;0&lt;/C&gt;&lt;/FQL&gt;&lt;FQL&gt;&lt;Q&gt;HCI^FE_TIMESERIES(TOTASSET,MEAN,-3FY,-3FY,FY,'BKRACTMED=1,WIN=0,CURRENCY=USD,UNITS=AUTO,DATE=NOW')&lt;/Q&gt;&lt;R&gt;0&lt;/R&gt;&lt;C&gt;0&lt;/C&gt;&lt;/FQL&gt;&lt;FQL&gt;&lt;Q&gt;HCI^FE_TIMESERIES(TOTASSET,MEAN,-4FY,-4FY,FY,'BKRACTMED=1,WIN=0,CURRENCY=USD,UNITS=AUTO,DATE=NOW')&lt;/Q&gt;&lt;R&gt;0&lt;/R&gt;&lt;C&gt;0&lt;/C&gt;&lt;/FQL&gt;&lt;FQL&gt;&lt;Q&gt;HCI^FE_TIMESERIES(TOTASSET,MEAN,-5FY,-5FY,FY,'BKRACTMED=1,WIN=0,CURRENCY=USD,UNITS=AUTO,DATE=NOW')&lt;/Q&gt;&lt;R&gt;0&lt;/R&gt;&lt;C&gt;0&lt;/C&gt;&lt;/FQL&gt;&lt;FQL&gt;&lt;Q&gt;HCI^FE_TIMESERIES(TOTASSET,MEAN,-6FY,-6FY,FY,'BKRACTMED=1,WIN=0,CURRENCY=USD,UNITS=AUTO,DATE=NOW')&lt;/Q&gt;&lt;R&gt;0&lt;/R&gt;&lt;C&gt;0&lt;/C&gt;&lt;/FQL&gt;&lt;FQL&gt;&lt;Q&gt;HCI^FE_TIMESERIES(TOTASSET,MEAN,-7FY,-7FY,FY,'BKRACTMED=1,WIN=0,CURRENCY=USD,UNITS=AUTO,DATE=NOW')&lt;/Q&gt;&lt;R&gt;0&lt;/R&gt;&lt;C&gt;0&lt;/C&gt;&lt;/FQL&gt;&lt;FQL&gt;&lt;Q&gt;HCI^FE_TIMESERIES(TOTASSET,MEAN,-8FY,-8FY,FY,'BKRACTMED=1,WIN=0,CURRENCY=USD,UNITS=AUTO,DATE=NOW')&lt;/Q&gt;&lt;R&gt;0&lt;/R&gt;&lt;C&gt;0&lt;/C&gt;&lt;/FQL&gt;&lt;FQL&gt;&lt;Q&gt;HCI^FE_TIMESERIES(TOTASSET,MEAN,-9FY,-9FY,FY,'BKRACTMED=1,WIN=0,CURRENCY=USD,UNITS=AUTO,DATE=NOW')&lt;/Q&gt;&lt;R&gt;0&lt;/R&gt;&lt;C&gt;0&lt;/C&gt;&lt;/FQL&gt;&lt;FQL&gt;&lt;Q&gt;HCI^FE_TIMESERIES(TOTASSET,MEAN,-10FY,-10FY,FY,'BKRACTMED=1,WIN=0,CURRENCY=USD,UNITS=AUTO,DATE=NOW')&lt;/Q&gt;&lt;R&gt;1&lt;/R&gt;&lt;C&gt;1&lt;/C&gt;&lt;D xsi:type="xsd:double"&gt;338.288&lt;/D&gt;&lt;/FQL&gt;&lt;FQL&gt;&lt;Q&gt;HCI^FE_TIMESERIES(CURRENTASSETS,MEAN,0FY,0FY,FY,'BKRACTMED=1,WIN=0,CURRENCY=USD,UNITS=AUTO,DATE=NOW')&lt;/Q&gt;&lt;R&gt;0&lt;/R&gt;&lt;C&gt;0&lt;/C&gt;&lt;/FQL&gt;&lt;FQL&gt;&lt;Q&gt;HCI^FE_TIMESERIES(CURRENTASSETS,MEAN,-1FY,-1FY,FY,'BKRACTMED=1,WIN=0,CURRENCY=USD,UNITS=AUTO,DATE=NOW')&lt;/Q&gt;&lt;R&gt;0&lt;/R&gt;&lt;C&gt;0&lt;/C&gt;&lt;/FQL&gt;&lt;FQL&gt;&lt;Q&gt;HCI^FE_TIMESERIES(CURRENTASSETS,MEAN,-2FY,-2FY,FY,'BKRACTMED=1,WIN=0,CURRENCY=USD,UNITS=AUTO,DATE=NOW')&lt;/Q&gt;&lt;R&gt;0&lt;/R&gt;&lt;C&gt;0&lt;/C&gt;&lt;/FQL&gt;&lt;FQL&gt;&lt;Q&gt;HCI^FE_TIMESERIES(CURRENTASSETS,MEAN,-3FY,-3FY,FY,'BKRACTMED=1,WIN=0,CURRENCY=USD,UNITS=AUTO,DATE=NOW')&lt;/Q&gt;&lt;R&gt;0&lt;/R&gt;&lt;C&gt;0&lt;/C&gt;&lt;/FQL&gt;&lt;FQL&gt;&lt;Q&gt;HCI^FE_TIMESERIES(CURRENTASSETS,MEAN,-4FY,-4FY,FY,'BKRACTMED=1,WIN=0,CURRENCY=USD,UNITS=AUTO,DATE=NOW')&lt;/Q&gt;&lt;R&gt;0&lt;/R&gt;&lt;C&gt;0&lt;/C&gt;&lt;/FQL&gt;&lt;FQL&gt;&lt;Q&gt;HCI^FE_TIMESERIES(CURRENTASSETS,MEAN,-5FY,-5FY,FY,'BKRACTMED=1,WIN=0,CURRENCY=USD,UNITS=AUTO,DATE=NOW')&lt;/Q&gt;&lt;R&gt;0&lt;/R&gt;&lt;C&gt;0&lt;/C&gt;&lt;/FQL&gt;&lt;FQL&gt;&lt;Q&gt;HCI^FE_TIMESERIES(CURRENTASSETS,MEAN,-6FY,-6FY,FY,'BKRACTMED=1,WIN=0,CURRENCY=USD,UNITS=AUTO,DATE=NOW')&lt;/Q&gt;&lt;R&gt;0&lt;/R&gt;&lt;C&gt;0&lt;/C&gt;&lt;/FQL&gt;&lt;FQL&gt;&lt;Q&gt;HCI^FE_TIMESERIES(CURRENTASSETS,MEAN,-7FY,-7FY,FY,'BKRACTMED=1,WIN=0,CURRENCY=USD,UNITS=AUTO,DATE=NOW')&lt;/Q&gt;&lt;R&gt;0&lt;/R&gt;&lt;C&gt;0&lt;/C&gt;&lt;/FQL&gt;&lt;FQL&gt;&lt;Q&gt;HCI^FE_TIMESERIES(CURRENTASSETS,MEAN,-8FY,-8FY,FY,'BKRACTMED=1,WIN=0,CURRENCY=USD,UNITS=AUTO,DATE=NOW')&lt;/Q&gt;&lt;R&gt;0&lt;/R&gt;&lt;C&gt;0&lt;/C&gt;&lt;/FQL&gt;&lt;FQL&gt;&lt;Q&gt;HCI^FE_TIMESERIES(CURRENTASSETS,MEAN,-9FY,-9FY,FY,'BKRACTMED=1,WIN=0,CURRENCY=USD,UNITS=AUTO,DATE=NOW')&lt;/Q&gt;&lt;R&gt;0&lt;/R&gt;&lt;C&gt;0&lt;/C&gt;&lt;/FQL&gt;&lt;FQL&gt;&lt;Q&gt;HCI^FE_TIMESERIES(CURRENTASSETS,MEAN,-10FY,-10FY,FY,'BKRACTMED=1,WIN=0,CURRENCY=USD,UNITS=AUTO,DATE=NOW')&lt;/Q&gt;&lt;R&gt;0&lt;/R&gt;&lt;C&gt;0&lt;/C&gt;&lt;/FQL&gt;&lt;FQL&gt;&lt;Q&gt;HCI^FE_TIMESERIES(INVENTORIES,MEAN,0FY,0FY,FY,'BKRACTMED=1,WIN=0,CURRENCY=USD,UNITS=AUTO,DATE=NOW')&lt;/Q&gt;&lt;R&gt;0&lt;/R&gt;&lt;C&gt;0&lt;/C&gt;&lt;/FQL&gt;&lt;FQL&gt;&lt;Q&gt;HCI^FE_TIMESERIES(INVENTORIES,MEAN,-1FY,-1FY,FY,'BKRACTMED=1,WIN=0,CURRENCY=USD,UNITS=AUTO,DATE=NOW')&lt;/Q&gt;&lt;R&gt;0&lt;/R&gt;&lt;C&gt;0&lt;/C&gt;&lt;/FQL&gt;&lt;FQL&gt;&lt;Q&gt;HCI^FE_TIMESERIES(INVENTORIES,MEAN,-2FY,-2FY,FY,'BKRACTMED=1,WIN=0,CURRENCY=USD,UNITS=AUTO,DATE=NOW')&lt;/Q&gt;&lt;R&gt;0&lt;/R&gt;&lt;C&gt;0&lt;/C&gt;&lt;/FQL&gt;&lt;FQL&gt;&lt;Q&gt;HCI^FE_TIMESERIES(INVENTORIES,MEAN,-3FY,-3FY,FY,'BKRACTMED=1,WIN=0,CURRENCY=USD,UNITS=AUTO,DATE=NOW')&lt;/Q&gt;&lt;R&gt;0&lt;/R&gt;&lt;C&gt;0&lt;/C&gt;&lt;/FQL&gt;&lt;FQL&gt;&lt;Q&gt;HCI^FE_TIMESERIES(INVENTORIES,MEAN,-4FY,-4FY,FY,'BKRACTMED=1,WIN=0,CURRENCY=USD,UNITS=AUTO,DATE=NOW')&lt;/Q&gt;&lt;R&gt;0&lt;/R&gt;&lt;C&gt;0&lt;/C&gt;&lt;/FQL&gt;&lt;FQL&gt;&lt;Q&gt;HCI^FE_TIMESERIES(INVENTORIES,MEAN,-5FY,-5FY,FY,'BKRACTMED=1,WIN=0,CURRENCY=USD,UNITS=AUTO,DATE=NOW')&lt;/Q&gt;&lt;R&gt;0&lt;/R&gt;&lt;C&gt;0&lt;/C&gt;&lt;/FQL&gt;&lt;FQL&gt;&lt;Q&gt;HCI^FE_TIMESERIES(INVENTORIES,MEAN,-6FY,-6FY,FY,'BKRACTMED=1,WIN=0,CURRENCY=USD,UNITS=AUTO,DATE=NOW')&lt;/Q&gt;&lt;R&gt;0&lt;/R&gt;&lt;C&gt;0&lt;/C&gt;&lt;/FQL&gt;&lt;FQL&gt;&lt;Q&gt;HCI^FE_TIMESERIES(INVENTORIES,MEAN,-7FY,-7FY,FY,'BKRACTMED=1,WIN=0,CURRENCY=USD,UNITS=AUTO,DATE=NOW')&lt;/Q&gt;&lt;R&gt;0&lt;/R&gt;&lt;C&gt;0&lt;/C&gt;&lt;/FQL&gt;&lt;FQL&gt;&lt;Q&gt;HCI^FE_TIMESERIES(INVENTORIES,MEAN,-8FY,-8FY,FY,'BKRACTMED=1,WIN=0,CURRENCY=USD,UNITS=AUTO,DATE=NOW')&lt;/Q&gt;&lt;R&gt;0&lt;/R&gt;&lt;C&gt;0&lt;/C&gt;&lt;/FQL&gt;&lt;FQL&gt;&lt;Q&gt;HCI^FE_TIMESERIES(INVENTORIES,MEAN,-9FY,-9FY,FY,'BKRACTMED=1,WIN=0,CURRENCY=USD,UNITS=AUTO,DATE=NOW')&lt;/Q&gt;&lt;R&gt;0&lt;/R&gt;&lt;C&gt;0&lt;/C&gt;&lt;/FQL&gt;&lt;FQL&gt;&lt;Q&gt;HCI^FE_TIMESERIES(INVENTORIES,MEAN,-10FY,-10FY,FY,'BKRACTMED=1,WIN=0,CURRENCY=USD,UNITS=AUTO,DATE=NOW')&lt;/Q&gt;&lt;R&gt;0&lt;/R&gt;&lt;C&gt;0&lt;/C&gt;&lt;/FQL&gt;&lt;FQL&gt;&lt;Q&gt;HCI^FE_TIMESERIES(RECEIV_NET,MEAN,0FY,0FY,FY,'BKRACTMED=1,WIN=0,CURRENCY=USD,UNITS=AUTO,DATE=NOW')&lt;/Q&gt;&lt;R&gt;0&lt;/R&gt;&lt;C&gt;0&lt;/C&gt;&lt;/FQL&gt;&lt;FQL&gt;&lt;Q&gt;HCI^FE_TIMESERIES(RECEIV_NET,MEAN,-1FY,-1FY,FY,'BKRACTMED=1,WIN=0,CURRENCY=USD,UNITS=AUTO,DATE=NOW')&lt;/Q&gt;&lt;R&gt;0&lt;/R&gt;&lt;C&gt;0&lt;/C&gt;&lt;/FQL&gt;&lt;FQL&gt;&lt;Q&gt;HCI^FE_TIMESERIES(RECEIV_NET,MEAN,-2FY,-2FY,FY,'BKRACTMED=1,WIN=0,CURRENCY=USD,UNITS=AUTO,DATE=NOW')&lt;/Q&gt;&lt;R&gt;0&lt;/R&gt;&lt;C&gt;0&lt;/C&gt;&lt;/FQL&gt;&lt;FQL&gt;&lt;Q&gt;HCI^FE_TIMESERIES(RECEIV_NET,MEAN,-3FY,-3FY,FY,'BKRACTMED=1,WIN=0,CURRENCY=USD,UNITS=AUTO,DATE=NOW')&lt;/Q&gt;&lt;R&gt;0&lt;/R&gt;&lt;C&gt;0&lt;/C&gt;&lt;/FQL&gt;&lt;FQL&gt;&lt;Q&gt;HCI^FE_TIMESERIES(RECEIV_NET,MEAN,-4FY,-4FY,FY,'BKRACTMED=1,WIN=0,CURRENCY=USD,UNITS=AUTO,DATE=NOW')&lt;/Q&gt;&lt;R&gt;0&lt;/R&gt;&lt;C&gt;0&lt;/C&gt;&lt;/FQL&gt;&lt;FQL&gt;&lt;Q&gt;HCI^FE_TIMESERIES(RECEIV_NET,MEAN,-5FY,-5FY,FY,'BKRACTMED=1,WIN=0,CURRENCY=USD,UNITS=AUTO,DATE=NOW')&lt;/Q&gt;&lt;R&gt;0&lt;/R&gt;&lt;C&gt;0&lt;/C&gt;&lt;/FQL&gt;&lt;FQL&gt;&lt;Q&gt;HCI^FE_TIMESERIES(RECEIV_NET,MEAN,-6FY,-6FY,FY,'BKRACTMED=1,WIN=0,CURRENCY=USD,UNITS=AUTO,DATE=NOW')&lt;/Q&gt;&lt;R&gt;0&lt;/R&gt;&lt;C&gt;0&lt;/C&gt;&lt;/FQL&gt;&lt;FQL&gt;&lt;Q&gt;HCI^FE_TIMESERIES(RECEIV_NET,MEAN,-7FY,-7FY,FY,'BKRACTMED=1,WIN=0,CURRENCY=USD,UNITS=AUTO,DATE=NOW')&lt;/Q&gt;&lt;R&gt;0&lt;/R&gt;&lt;C&gt;0&lt;/C&gt;&lt;/FQL&gt;&lt;FQL&gt;&lt;Q&gt;HCI^FE_TIMESERIES(RECEIV_NET,MEAN,-8FY,-8FY,FY,'BKRACTMED=1,WIN=0,CURRENCY=USD,UNITS=AUTO,DATE=NOW')&lt;/Q&gt;&lt;R&gt;0&lt;/R&gt;&lt;C&gt;0&lt;/C&gt;&lt;/FQL&gt;&lt;FQL&gt;&lt;Q&gt;HCI^FE_TIMESERIES(RECEIV_NET,MEAN,-9FY,-9FY,FY,'BKRACTMED=1,WIN=0,CURRENCY=USD,UNITS=AUTO,DATE=NOW')&lt;/Q&gt;&lt;R&gt;0&lt;/R&gt;&lt;C&gt;0&lt;/C&gt;&lt;/FQL&gt;&lt;FQL&gt;&lt;Q&gt;HCI^FE_TIMESERIES(RECEIV_NET,MEAN,-10FY,-10FY,FY,'BKRACTMED=1,WIN=0,CURRENCY=USD,UNITS=AUTO,DATE=NOW')&lt;/Q&gt;&lt;R&gt;0&lt;/R&gt;&lt;C&gt;0&lt;/C&gt;&lt;/FQL&gt;&lt;FQL&gt;&lt;Q&gt;HCI^FE_TIMESERIES(CASH_ST,MEAN,0FY,0FY,FY,'BKRACTMED=1,WIN=0,CURRENCY=USD,UNITS=AUTO,DATE=NOW')&lt;/Q&gt;&lt;R&gt;0&lt;/R&gt;&lt;C&gt;0&lt;/C&gt;&lt;/FQL&gt;&lt;FQL&gt;&lt;Q&gt;HCI^FE_TIMESERIES(CASH_ST,MEAN,-1FY,-1FY,FY,'BKRACTMED=1,WIN=0,CURRENCY=USD,UNITS=AUTO,DATE=NOW')&lt;/Q&gt;&lt;R&gt;0&lt;/R&gt;&lt;C&gt;0&lt;/C&gt;&lt;/FQL&gt;&lt;FQL&gt;&lt;Q&gt;HCI^FE_TIMESERIES(CASH_ST,MEAN,-2FY,-2FY,FY,'BKRACTMED=1,WIN=0,CURRENCY=USD,UNITS=AUTO,DATE=NOW')&lt;/Q&gt;&lt;R&gt;0&lt;/R&gt;&lt;C&gt;0&lt;/C&gt;&lt;/FQL&gt;&lt;FQL&gt;&lt;Q&gt;HCI^FE_TIMESERIES(CASH_ST,MEAN,-3FY,-3FY,FY,'BKRACTMED=1,WIN=0,CURRENCY=USD,UNITS=AUTO,DATE=NOW')&lt;/Q&gt;&lt;R&gt;0&lt;/R&gt;&lt;C&gt;0&lt;/C&gt;&lt;/FQL&gt;&lt;FQL&gt;&lt;Q&gt;HCI^FE_TIMESERIES(CASH_ST,MEAN,-4FY,-4FY,FY,'BKRACTMED=1,WIN=0,CURRENCY=USD,UNITS=AUTO,DATE=NOW')&lt;/Q&gt;&lt;R&gt;0&lt;/R&gt;&lt;C&gt;0&lt;/C&gt;&lt;/FQL&gt;&lt;FQL&gt;&lt;Q&gt;HCI^FE_TIMESERIES(CASH_ST,MEAN,-5FY,-5FY,FY,'BKRACTMED=1,WIN=0,CURRENCY=USD,UNITS=AUTO,DATE=NOW')&lt;/Q&gt;&lt;R&gt;0&lt;/R&gt;&lt;C&gt;0&lt;/C&gt;&lt;/FQL&gt;&lt;FQL&gt;&lt;Q&gt;HCI^FE_TIMESERIES(CASH_ST,MEAN,-6FY,-6FY,FY,'BKRACTMED=1,WIN=0,CURRENCY=USD,UNITS=AUTO,DATE=NOW')&lt;/Q&gt;&lt;R&gt;0&lt;/R&gt;&lt;C&gt;0&lt;/C&gt;&lt;/FQL&gt;&lt;FQL&gt;&lt;Q&gt;HCI^FE_TIMESERIES(CASH_ST,MEAN,-7FY,-7FY,FY,'BKRACTMED=1,WIN=0,CURRENCY=USD,UNITS=AUTO,DATE=NOW')&lt;/Q&gt;&lt;R&gt;0&lt;/R&gt;&lt;C&gt;0&lt;/C&gt;&lt;/FQL&gt;&lt;FQL&gt;&lt;Q&gt;HCI^FE_TIMESERIES(CASH_ST,MEAN,-8FY,-8FY,FY,'BKRACTMED=1,WIN=0,CURRENCY=USD,UNITS=AUTO,DATE=NOW')&lt;/Q&gt;&lt;R&gt;0&lt;/R&gt;&lt;C&gt;0&lt;/C&gt;&lt;/FQL&gt;&lt;FQL&gt;&lt;Q&gt;HCI^FE_TIMESERIES(CASH_ST,MEAN,-9FY,-9FY,FY,'BKRACTMED=1,WIN=0,CURRENCY=USD,UNITS=AUTO,DATE=NOW')&lt;/Q&gt;&lt;R&gt;0&lt;/R&gt;&lt;C&gt;0&lt;/C&gt;&lt;/FQL&gt;&lt;FQL&gt;&lt;Q&gt;HCI^FE_TIMESERIES(CASH_ST,MEAN,-10FY,-10FY,FY,'BKRACTMED=1,WIN=0,CURRENCY=USD,UNITS=AUTO,DATE=NOW')&lt;/Q&gt;&lt;R&gt;0&lt;/R&gt;&lt;C&gt;0&lt;/C&gt;&lt;/FQL&gt;&lt;FQL&gt;&lt;Q&gt;HCI^FE_TIMESERIES(EPS,MEAN,0FY,0FY,FY,'BKRACTMED=1,WIN=0,CURRENCY=USD,UNITS=AUTO,DATE=NOW')&lt;/Q&gt;&lt;R&gt;1&lt;/R&gt;&lt;C&gt;1&lt;/C&gt;&lt;D xsi:type="xsd:double"&gt;-5.48&lt;/D&gt;&lt;/FQL&gt;&lt;FQL&gt;&lt;Q&gt;HCI^FE_TIMESERIES(EPS,MEAN,-1FY,-1FY,FY,'BKRACTMED=1,WIN=0,CURRENCY=USD,UNITS=AUTO,DATE=NOW')&lt;/Q&gt;&lt;R&gt;1&lt;/R&gt;&lt;C&gt;1&lt;/C&gt;&lt;D xsi:type="xsd:double"&gt;0.1&lt;/D&gt;&lt;/FQL&gt;&lt;FQL&gt;&lt;Q&gt;HCI^FE_TIMESERIES(EPS,MEAN,-2FY,-2FY,FY,'BKRACTMED=1,WIN=0,CURRENCY=USD,UNITS=AUTO,DATE=NOW')&lt;/Q&gt;&lt;R&gt;1&lt;/R&gt;&lt;C&gt;1&lt;/C&gt;&lt;D xsi:type="xsd:double"&gt;3.44&lt;/D&gt;&lt;/FQL&gt;&lt;FQL&gt;&lt;Q&gt;HCI^FE_TIMESERIES(EPS,MEAN,-3FY,-3FY,FY,'BKRACTMED=1,WIN=0,CURRENCY=USD,UNITS=AUTO,DATE=NOW')&lt;/Q&gt;&lt;R&gt;1&lt;/R&gt;&lt;C&gt;1&lt;/C&gt;&lt;D xsi:type="xsd:double"&gt;2.57&lt;/D&gt;&lt;/FQL&gt;&lt;FQL&gt;&lt;Q&gt;HCI^FE_TIMESERIES(EPS,MEAN,-4FY,-4FY,FY,'BKRACTMED=1,WIN=0,CURRENCY=USD,UNITS=AUTO,DATE=NOW')&lt;/Q&gt;&lt;R&gt;1&lt;/R&gt;&lt;C&gt;1&lt;/C&gt;&lt;D xsi:type="xsd:double"&gt;3.23&lt;/D&gt;&lt;/FQL&gt;&lt;FQL&gt;&lt;Q&gt;HCI^FE_TIMESERIES(EPS,MEAN,-5FY,-5FY,FY,'BKRACTMED=1,WIN=0,CURRENCY=USD,UNITS=AUTO,DATE=NOW')&lt;/Q&gt;&lt;R&gt;1&lt;/R&gt;&lt;C&gt;1&lt;/C&gt;&lt;D xsi:type="xsd:double"&gt;-0.958621&lt;/D&gt;&lt;/FQL&gt;&lt;FQL&gt;&lt;Q&gt;HCI^FE_TIMESERIES(EPS,MEAN,-6FY,-6FY,FY,'BKRACTMED=1,WIN=0,CURRENCY=USD,UNITS=AUTO,DATE=NOW')&lt;/Q&gt;&lt;R&gt;1&lt;/R&gt;&lt;C&gt;1&lt;/C&gt;&lt;D xsi:type="xsd:double"&gt;2.7579&lt;/D&gt;&lt;/FQL&gt;&lt;FQL&gt;&lt;Q&gt;HCI^FE_TIMESERIES(EPS,MEAN,-7FY,-7FY,FY,'BKRACTMED=1,WIN=0,CURRENCY=USD,UNITS=AUTO,DATE=NOW')&lt;/Q&gt;&lt;R&gt;1&lt;/R&gt;&lt;C&gt;1&lt;/C&gt;&lt;D xsi:type="xsd:double"&gt;5.93378&lt;/D&gt;&lt;/FQL&gt;&lt;FQL&gt;&lt;Q&gt;HCI^FE_TIMESERIES(EPS,MEAN,-8FY,-8FY,FY,'BKRACTMED=1,WIN=0,CURRENCY=USD,UNITS=AUTO,DATE=NOW')&lt;/Q&gt;&lt;R&gt;1&lt;/R&gt;&lt;C&gt;1&lt;/C&gt;&lt;D xsi:type="xsd:double"&gt;5.10863&lt;/D&gt;&lt;/FQL&gt;&lt;FQL&gt;&lt;Q&gt;HCI^FE_TIMESERIES(EPS,MEAN,-9FY,-9FY,FY,'BKRACTMED=1,WIN=0,CURRENCY=USD,UNITS=AUTO,DATE=NOW')&lt;/Q&gt;&lt;R&gt;1&lt;/R&gt;&lt;C&gt;1&lt;/C&gt;&lt;D xsi:type="xsd:double"&gt;5.63&lt;/D&gt;&lt;/FQL&gt;&lt;FQL&gt;&lt;Q&gt;HCI^FE_TIMESERIES(EPS,MEAN,-10FY,-10FY,FY,'BKRACTMED=1,WIN=0,CURRENCY=USD,UNITS=AUTO,DATE=NOW')&lt;/Q&gt;&lt;R&gt;1&lt;/R&gt;&lt;C&gt;1&lt;/C&gt;&lt;D xsi:type="xsd:double"&gt;3.02&lt;/D&gt;&lt;/FQL&gt;&lt;FQL&gt;&lt;Q&gt;HCI^FE_TIMESERIES(TAX_EXPENSE,MEAN,0FY,0FY,FY,'BKRACTMED=1,WIN=0,CURRENCY=USD,UNITS=AUTO,DATE=NOW')&lt;/Q&gt;&lt;R&gt;1&lt;/R&gt;&lt;C&gt;1&lt;/C&gt;&lt;D xsi:type="xsd:double"&gt;-13.4865&lt;/D&gt;&lt;/FQL&gt;&lt;FQL&gt;&lt;Q&gt;HCI^FE_TIMESERIES(TAX_EXPENSE,MEAN,-1FY,-1FY,FY,'BKRACTMED=1,WIN=0,CURRENCY=USD,UNITS=AUTO,DATE=NOW')&lt;/Q&gt;&lt;R&gt;1&lt;/R&gt;&lt;C&gt;1&lt;/C&gt;&lt;D xsi:type="xsd:double"&gt;3.991&lt;/D&gt;&lt;/FQL&gt;&lt;FQL&gt;&lt;Q&gt;HCI^FE_TIMESERIES(TAX_EXPENSE,MEAN,-2FY,-2FY,FY,'BKRACTMED=1,WIN=0,CURRENCY=USD,UNITS=AUTO,DATE=NOW')&lt;/Q&gt;&lt;R&gt;1&lt;/R&gt;&lt;C&gt;1&lt;/C&gt;&lt;D xsi:type="xsd:double"&gt;9.348&lt;/D&gt;&lt;/FQL&gt;&lt;FQL&gt;&lt;Q&gt;HCI^FE_TIMESERIES(TAX_EXPENSE,MEAN,-3FY,-3FY,FY,'BKRACTMED=1,WIN=0,CURRENCY=USD,UNITS=AUTO,DATE=NOW')&lt;/Q&gt;&lt;R&gt;1&lt;/R&gt;&lt;C&gt;1&lt;/C&gt;&lt;D xsi:type="xsd:double"&gt;9.517&lt;/D&gt;&lt;/FQL&gt;&lt;FQL&gt;&lt;Q&gt;HCI^FE_TIMESERIES(TAX_EXPENSE,MEAN,-4FY,-4FY,FY,'BKRACTMED=1,WIN=0,CURRENCY=USD,UNITS=AUTO,DATE=NOW')&lt;/Q&gt;&lt;R&gt;1&lt;/R&gt;&lt;C&gt;1&lt;/C&gt;&lt;D xsi:type="xsd:double"&gt;9.177&lt;/D&gt;&lt;/FQL&gt;&lt;FQL&gt;&lt;Q&gt;HCI^FE_TIMESERIES(TAX_EXPENSE,MEAN,-5FY,-5FY,FY,'BKRACTMED=1,WIN=0,CURRENCY=USD,UNITS=AUTO,DATE=NOW')&lt;/Q&gt;&lt;R&gt;1&lt;/R&gt;&lt;C&gt;1&lt;/C&gt;&lt;D xsi:type="xsd:double"&gt;-8.031&lt;/D&gt;&lt;/FQL&gt;&lt;FQL&gt;&lt;Q&gt;HCI^FE_TIMESERIES(TAX_EXPENSE,MEAN,-6FY,-6FY,FY,'BKRACTMED=1,WIN=0,CURRENCY=USD,UNITS=AUTO,DATE=NOW')&lt;/Q&gt;&lt;R&gt;1&lt;/R&gt;&lt;C&gt;1&lt;/C&gt;&lt;D xsi:type="xsd:double"&gt;17.835&lt;/D&gt;&lt;/FQL&gt;&lt;FQL&gt;&lt;Q&gt;HCI^FE_TIMESERIES(TAX_EXPENSE,MEAN,-7FY,-7FY,FY,'BKRACTMED=1,WIN=0,CURRENCY=USD,UNITS=AUTO,DATE=NOW')&lt;/Q&gt;&lt;R&gt;1&lt;/R&gt;&lt;C&gt;1&lt;/C&gt;&lt;D xsi:type="xsd:double"&gt;40.331&lt;/D&gt;&lt;/FQL&gt;&lt;FQL&gt;&lt;Q&gt;HCI^FE_TIMESERIES(TAX_EXPENSE,MEAN,-8FY,-8FY,FY,'BKRACTMED=1,WIN=0,CURRENCY=USD,UNITS=AUTO,DATE=NOW')&lt;/Q&gt;&lt;R&gt;1&lt;/R&gt;&lt;C&gt;1&lt;/C&gt;&lt;D xsi:type="xsd:double"&gt;38.298&lt;/D&gt;&lt;/FQL&gt;&lt;FQL&gt;&lt;Q&gt;HCI^FE_TIMESERIES(TAX_EXPENSE,MEAN,-9FY,-9FY,FY,'BKRACTMED=1,WIN=0,CURRENCY=USD,UNITS=AUTO,DATE=NOW')&lt;/Q&gt;&lt;R&gt;1&lt;/R&gt;&lt;C&gt;1&lt;/C&gt;&lt;D xsi:type="xsd:double"&gt;40.891&lt;/D&gt;&lt;/FQL&gt;&lt;FQL&gt;&lt;Q&gt;HCI^FE_TIMESERIES(TAX_EXPENSE,MEAN,-10FY,-10FY,FY,'BKRACTMED=1,WIN=0,CURRENCY=USD,UNITS=AUTO,DATE=NOW')&lt;/Q&gt;&lt;R&gt;1&lt;/R&gt;&lt;C&gt;1&lt;/C&gt;&lt;D xsi:type="xsd:double"&gt;19.423&lt;/D&gt;&lt;/FQL&gt;&lt;FQL&gt;&lt;Q&gt;HCI^FE_TIMESERIES(PTP,MEAN,0FY,0FY,FY,'BKRACTMED=1,WIN=0,CURRENCY=USD,UNITS=AUTO,DATE=NOW')&lt;/Q&gt;&lt;R&gt;1&lt;/R&gt;&lt;C&gt;1&lt;/C&gt;&lt;D xsi:type="xsd:double"&gt;-64.8415&lt;/D&gt;&lt;/FQL&gt;&lt;FQL&gt;&lt;Q&gt;HCI^FE_TIMESERIES(PTP,MEAN,-1FY,-1FY,FY,'BKRACTMED=1,WIN=0,CURRENCY=USD,UNITS=AUTO,DATE=NOW')&lt;/Q&gt;&lt;R&gt;1&lt;/R&gt;&lt;C&gt;1&lt;/C&gt;&lt;D xsi:type="xsd:double"&gt;10.351&lt;/D&gt;&lt;/FQL&gt;&lt;FQL&gt;&lt;Q&gt;HCI^FE_TIMESERIES(PTP,MEAN,-2FY,-2FY,FY,'BKRACTMED=1,WIN=0,CURRENCY=USD,UNITS=AUTO,DATE=NOW')&lt;/Q&gt;&lt;R&gt;1&lt;/R&gt;&lt;C&gt;1&lt;/C&gt;&lt;D xsi:type="xsd:double"&gt;37.524&lt;/D&gt;&lt;/FQL&gt;&lt;FQL&gt;&lt;Q&gt;HCI^FE_TIMESERIES(PTP,MEAN,-3FY,-3FY,FY,'BKRACTMED=1,WIN=0,CURRENCY=USD,UNITS=AUTO,DATE=NOW')&lt;/Q&gt;&lt;R&gt;1&lt;/R&gt;&lt;C&gt;1&lt;/C&gt;&lt;D xsi:type="xsd:double"&gt;36.093&lt;/D&gt;&lt;/FQL&gt;&lt;FQL&gt;&lt;Q&gt;HCI^FE_TIMESERIES(PTP,MEAN,-4FY,-4FY,FY,'BKRACTMED=1,WIN=0,CURRENCY=USD,UNITS=AUTO,DATE=NOW')&lt;/Q&gt;&lt;R&gt;1&lt;/R&gt;&lt;C&gt;1&lt;/C&gt;&lt;D xsi:type="xsd:double"&gt;29.154&lt;/D&gt;&lt;/FQL&gt;&lt;FQL&gt;&lt;Q&gt;HCI^FE_TIMESERIES(PTP,MEAN,-5FY,-5FY,FY,'BKRACTMED=1,WIN=0,CURRENCY=USD,UNITS=AUTO,DATE=NOW')&lt;/Q&gt;&lt;R&gt;1&lt;/R&gt;&lt;C&gt;1&lt;/C&gt;&lt;D xsi:type="xsd:double"&gt;-15.624&lt;/D&gt;&lt;/FQL&gt;&lt;FQL&gt;&lt;Q&gt;HCI^FE_TIMESERIES(PTP,MEAN,-6FY,-6FY,FY,'BKRACTMED=1,WIN=0,CURRENCY=USD,UNITS=AUTO,DATE=NOW')&lt;/Q&gt;&lt;R&gt;1&lt;/R&gt;&lt;C&gt;1&lt;/C&gt;&lt;D xsi:type="xsd:double"&gt;46.856&lt;/D&gt;&lt;/FQL&gt;&lt;FQL&gt;&lt;Q&gt;HCI^FE_TIMESERIES(PTP,MEAN,-7FY,-7FY,FY,'BKRACTMED=1,WIN=0,CURRENCY=USD,UNITS=AUTO,DATE=NOW')&lt;/Q&gt;&lt;R&gt;1&lt;/R&gt;&lt;C&gt;1&lt;/C&gt;&lt;D xsi:type="xsd:double"&gt;106.192&lt;/D&gt;&lt;/FQL&gt;&lt;FQL&gt;&lt;Q&gt;HCI^FE_TIMESERIES(PTP,MEAN,-8FY,-8FY,FY,'BKRACTMED=1,WIN=0,CURRENCY=USD,UNITS=AUTO,DATE=NOW')&lt;/Q&gt;&lt;R&gt;1&lt;/R&gt;&lt;C&gt;1&lt;/C&gt;&lt;D xsi:type="xsd:double"&gt;100.962&lt;/D&gt;&lt;/FQL&gt;&lt;FQL&gt;&lt;Q&gt;HCI^FE_TIMESERIES(PTP,MEAN,-9FY,-9FY,FY,'BKRACTMED=1,WIN=0,CURRENCY=USD,UNITS=AUTO,DATE=NOW')&lt;/Q&gt;&lt;R&gt;1&lt;/R&gt;&lt;C&gt;1&lt;/C&gt;&lt;D xsi:type="xsd:double"&gt;106.4765&lt;/D&gt;&lt;/FQL&gt;&lt;FQL&gt;&lt;Q&gt;HCI^FE_TIMESERIES(PTP,MEAN,-10FY,-10FY,FY,'BKRACTMED=1,WIN=0,CURRENCY=USD,UNITS=AUTO,DATE=NOW')&lt;/Q&gt;&lt;R&gt;1&lt;/R&gt;&lt;C&gt;1&lt;/C&gt;&lt;D xsi:type="xsd:double"&gt;49.58&lt;/D&gt;&lt;/FQL&gt;&lt;FQL&gt;&lt;Q&gt;HCI^FE_TIMESERIES(INTEXP,MEAN,0FY,0FY,FY,'BKRACTMED=1,WIN=0,CURRENCY=USD,UNITS=AUTO,DATE=NOW')&lt;/Q&gt;&lt;R&gt;1&lt;/R&gt;&lt;C&gt;1&lt;/C&gt;&lt;D xsi:type="xsd:double"&gt;7.768&lt;/D&gt;&lt;/FQL&gt;&lt;FQL&gt;&lt;Q&gt;HCI^FE_TIMESERIES(INTEXP,MEAN,-1FY,-1FY,FY,'BKRACTMED=1,WIN=0,CURRENCY=USD,UNITS=AUTO,DATE=NOW')&lt;/Q&gt;&lt;R&gt;1&lt;/R&gt;&lt;C&gt;1&lt;/C&gt;&lt;D xsi:type="xsd:double"&gt;6.4&lt;/D&gt;&lt;/FQL&gt;&lt;FQL&gt;&lt;Q&gt;HCI^FE_TIMESERIES(INTEXP,MEAN,-2FY,-2FY,FY,'BKRACTMED=1,WIN=0,CURRENCY=USD,UNITS=AUTO,DATE=NOW')&lt;/Q&gt;&lt;R&gt;1&lt;/R&gt;&lt;C&gt;1&lt;/C&gt;&lt;D xsi:type="xsd:double"&gt;11.734&lt;/D&gt;&lt;/FQL&gt;&lt;FQL&gt;&lt;Q&gt;HCI^FE_TIMESERIES(INTEXP,MEAN,-3FY,-3FY,FY,'BKRACTMED=1,WIN=0,CURRENCY=USD,UNITS=AUTO,DATE=NOW')&lt;/Q&gt;&lt;R&gt;1&lt;/R&gt;&lt;C&gt;1&lt;/C&gt;&lt;D xsi:type="xsd:double"&gt;13.055&lt;/D&gt;&lt;/FQL&gt;&lt;FQL&gt;&lt;Q&gt;HCI^FE_TIMESERIES(INTEXP,MEAN,-4FY,-4FY,FY,'BKRACTMED=1,WIN=0,CURRENCY=USD,UNITS=AUTO,DATE=NOW')&lt;/Q&gt;&lt;R&gt;1&lt;/R&gt;&lt;C&gt;1&lt;/C&gt;&lt;D xsi:type="xsd:double"&gt;17.4365&lt;/D&gt;&lt;/FQL&gt;&lt;FQL&gt;&lt;Q&gt;HCI^FE_TIMESERIES(INTEXP,MEAN,-5FY,-5FY,FY,'BKRACTMED=1,WIN=0,CURRENCY=USD,UNITS=AUTO,DATE=NOW')&lt;/Q&gt;&lt;R&gt;1&lt;/R&gt;&lt;C&gt;1&lt;/C&gt;&lt;D xsi:type="xsd:double"&gt;16.767&lt;/D&gt;&lt;/FQL&gt;&lt;FQL&gt;&lt;Q&gt;HCI^FE_TIMESERIES(INTEXP,MEAN,-6FY,-6FY,FY,'BKRACTMED=1,WIN=0,CURRENCY=USD,UNITS=AUTO,DATE=NOW')&lt;/Q&gt;&lt;R&gt;1&lt;/R&gt;&lt;C&gt;1&lt;/C&gt;&lt;D xsi:type="xsd:double"&gt;11.079&lt;/D&gt;&lt;/FQL&gt;&lt;FQL&gt;&lt;Q&gt;HCI^FE_TIMESERIES(INTEXP,MEAN,-7FY,-7FY,FY,'BKRACTMED=1,WIN=0,CURRENCY=USD,UNITS=AUTO,DATE=NOW')&lt;/Q&gt;&lt;R&gt;1&lt;/R&gt;&lt;C&gt;1&lt;/C&gt;&lt;D xsi:type="xsd:double"&gt;10.754&lt;/D&gt;&lt;/FQL&gt;&lt;FQL&gt;&lt;Q&gt;HCI^FE_TIMESERIES(INTEXP,MEAN,-8FY,-8FY,FY,'BKRACTMED=1,WIN=0,CURRENCY=USD,UNITS=AUTO,DATE=NOW')&lt;/Q&gt;&lt;R&gt;1&lt;/R&gt;&lt;C&gt;1&lt;/C&gt;&lt;D xsi:type="xsd:double"&gt;10.453&lt;/D&gt;&lt;/FQL&gt;&lt;FQL&gt;&lt;Q&gt;HCI^FE_TIMESERIES(INTEXP,MEAN,-9FY,-9FY,FY,'BKRACTMED=1,WIN=0,CURRENCY=USD,UNITS=AUTO,DATE=NOW')&lt;/Q&gt;&lt;R&gt;1&lt;/R&gt;&lt;C&gt;1&lt;/C&gt;&lt;D xsi:type="xsd:double"&gt;3.6035&lt;/D&gt;&lt;/FQL&gt;&lt;FQL&gt;&lt;Q&gt;HCI^FE_TIMESERIES(INTEXP,MEAN,-10FY,-10FY,FY,'BKRACTMED=1,WIN=0,CURRENCY=USD,UNITS=AUTO,DATE=NOW')&lt;/Q&gt;&lt;R&gt;0&lt;/R&gt;&lt;C&gt;0&lt;/C&gt;&lt;/FQL&gt;&lt;FQL&gt;&lt;Q&gt;HCI^FE_TIMESERIES(EBIT,MEAN,0FY,0FY,FY,'BKRACTMED=1,WIN=0,CURRENCY=USD,UNITS=AUTO,DATE=NOW')&lt;/Q&gt;&lt;R&gt;1&lt;/R&gt;&lt;C&gt;1&lt;/C&gt;&lt;D xsi:type="xsd:double"&gt;-52.5&lt;/D&gt;&lt;/FQL&gt;&lt;FQL&gt;&lt;Q&gt;HCI^FE_TIMESERIES(EBIT,MEAN,-1FY,-1FY,FY,'BKRACTMED=1,WIN=0,CURRENCY=USD,UNITS=AUTO,DATE=NOW')&lt;/Q&gt;&lt;R&gt;1&lt;/R&gt;&lt;C&gt;1&lt;/C&gt;&lt;D xsi:type="xsd:double"&gt;2.4&lt;/D&gt;&lt;/FQL&gt;&lt;FQL&gt;&lt;Q&gt;HCI^FE_TIMESERIES(EBIT,MEAN,-2FY,-2FY,FY,'BKRACTMED=1,WIN=0,CURRENCY=USD,UNITS=AUTO,DATE=NOW')&lt;/Q&gt;&lt;R&gt;1&lt;/R&gt;&lt;C&gt;1&lt;/C&gt;&lt;D xsi:type="xsd:double"&gt;28.6&lt;/D&gt;&lt;/FQL&gt;&lt;FQL&gt;&lt;Q&gt;HCI^FE_TIMESERIES(EBIT,MEAN,-3FY,-3FY,FY,'BKRACTMED=1,WIN=0,CURRENCY=USD,UNITS=AUTO,DATE=NOW')&lt;/Q&gt;&lt;R&gt;1&lt;/R&gt;&lt;C&gt;1&lt;/C&gt;&lt;D xsi:type="xsd:double"&gt;21.8&lt;/D&gt;&lt;/FQL&gt;&lt;FQL&gt;&lt;Q&gt;HCI^FE_TIMESERIES(EBIT,MEAN,-4FY,-4FY,FY,'BKRACTMED=1,WIN=0,CURRENCY=USD,UNITS=AUTO,DATE=NOW')&lt;/Q&gt;&lt;R&gt;1&lt;/R&gt;&lt;C&gt;1&lt;/C&gt;&lt;D xsi:type="xsd:double"&gt;33.6&lt;/D&gt;&lt;/FQL&gt;&lt;FQL&gt;&lt;Q&gt;HCI^FE_TIMESERIES(EBIT,MEAN,-5FY,-5FY,FY,'BKRACTMED=1,WIN=0,CURRENCY=USD,UNITS=AUTO,DATE=NOW')&lt;/Q&gt;&lt;R&gt;1&lt;/R&gt;&lt;C&gt;1&lt;/C&gt;&lt;D xsi:type="xsd:double"&gt;-3.7&lt;/D&gt;&lt;/FQL&gt;&lt;FQL&gt;&lt;Q&gt;HCI^FE_TIMESERIES(EBIT,MEAN,-6FY,-6FY,FY,'BKRACTMED=1,WIN=0,CURRENCY=USD,UNITS=AUTO,DATE=NOW')&lt;/Q&gt;&lt;R&gt;1&lt;/R&gt;&lt;C&gt;1&lt;/C&gt;&lt;D xsi:type="xsd:double"&gt;25.3&lt;/D&gt;&lt;/FQL&gt;&lt;FQL&gt;&lt;Q&gt;HCI^FE_TIMESERIES(EBIT,MEAN,-7FY,-7FY,FY,'BKRACTMED=1,WIN=0,CURRENCY=USD,UNITS=AUTO,DATE=NOW')&lt;/Q&gt;&lt;R&gt;1&lt;/R&gt;&lt;C&gt;1&lt;/C&gt;&lt;D xsi:type="xsd:double"&gt;69.3&lt;/D&gt;&lt;/FQL&gt;&lt;FQL&gt;&lt;Q&gt;HCI^FE_TIMESERIES(EBIT,MEAN,-8FY,-8FY,FY,'BKRACTMED=1,WIN=0,CURRENCY=USD,UNITS=AUTO,DATE=NOW')&lt;/Q&gt;&lt;R&gt;1&lt;/R&gt;&lt;C&gt;1&lt;/C&gt;&lt;D xsi:type="xsd:double"&gt;59.6&lt;/D&gt;&lt;/FQL&gt;&lt;FQL&gt;&lt;Q&gt;HCI^FE_TIMESERIES(EBIT,MEAN,-9FY,-9FY,FY,'BKRACTMED=1,WIN=0,CURRENCY=USD,UNITS=AUTO,DATE=NOW')&lt;/Q&gt;&lt;R&gt;0&lt;/R&gt;&lt;C&gt;0&lt;/C&gt;&lt;/FQL&gt;&lt;FQL&gt;&lt;Q&gt;HCI^FE_TIMESERIES(EBIT,MEAN,-10FY,-10FY,FY,'BKRACTMED=1,WIN=0,CURRENCY=USD,UNITS=AUTO,DATE=NOW')&lt;/Q&gt;&lt;R&gt;0&lt;/R&gt;&lt;C&gt;0&lt;/C&gt;&lt;/FQL&gt;&lt;FQL&gt;&lt;Q&gt;HCI^FE_TIMESERIES(GROSSINCOME,MEAN,0FY,0FY,FY,'BKRACTMED=1,WIN=0,CURRENCY=USD,UNITS=AUTO,DATE=NOW')&lt;/Q&gt;&lt;R&gt;0&lt;/R&gt;&lt;C&gt;0&lt;/C&gt;&lt;/FQL&gt;&lt;FQL&gt;&lt;Q&gt;HCI^FE_TIMESERIES(GROSSINCOME,MEAN,-1FY,-1FY,FY,'BKRACTMED=1,WIN=0,CURRENCY=USD,UNITS=AUTO,DATE=NOW')&lt;/Q&gt;&lt;R&gt;0&lt;/R&gt;&lt;C&gt;0&lt;/C&gt;&lt;/FQL&gt;&lt;FQL&gt;&lt;Q&gt;HCI^FE_TIMESERIES(GROSSINCOME,MEAN,-2FY,-2FY,FY,'BKRACTMED=1,WIN=0,CURRENCY=USD,UNITS=AUTO,DATE=NOW')&lt;/Q&gt;&lt;R&gt;0&lt;/R&gt;&lt;C&gt;0&lt;/C&gt;&lt;/FQL&gt;&lt;FQL&gt;&lt;Q&gt;HCI^FE_TIMESERIES(GROSSINCOME,MEAN,-3FY,-3FY,FY,'BKRACTMED=1,WIN=0,CURRENCY=USD,UNITS=AUTO,DATE=NOW')&lt;/Q&gt;&lt;R&gt;0&lt;/R&gt;&lt;C&gt;0&lt;/C&gt;&lt;/FQL&gt;&lt;FQL&gt;&lt;Q&gt;HCI^FE_TIMESERIES(GROSSINCOME,MEAN,-4FY,-4FY,FY,'BKRACTMED=1,WIN=0,CURRENCY=USD,UNITS=AUTO,DATE=NOW')&lt;/Q&gt;&lt;R&gt;0&lt;/R&gt;&lt;C&gt;0&lt;/C&gt;&lt;/FQL&gt;&lt;FQL&gt;&lt;Q&gt;HCI^FE_TIMESERIES(GROSSINCOME,MEAN,-5FY,-5FY,FY,'BKRACTMED=1,WIN=0,CURRENCY=USD,UNITS=AUTO,DATE=NOW')&lt;/Q&gt;&lt;R&gt;0&lt;/R&gt;&lt;C&gt;0&lt;/C&gt;&lt;/FQL&gt;&lt;FQL&gt;&lt;Q&gt;HCI^FE_TIMESERIES(GROSSINCOME,MEAN,-6FY,-6FY,FY,'BKRACTMED=1,WIN=0,CURRENCY=USD,UNITS=AUTO,DATE=NOW')&lt;/Q&gt;&lt;R&gt;0&lt;/R&gt;&lt;C&gt;0&lt;/C&gt;&lt;/FQL&gt;&lt;FQL&gt;&lt;Q&gt;HCI^FE_TIMESERIES(GROSSINCOME,MEAN,-7FY,-7FY,FY,'BKRACTMED=1,WIN=0,CURRENCY=USD,UNITS=AUTO,DATE=NOW')&lt;/Q&gt;&lt;R&gt;0&lt;/R&gt;&lt;C&gt;0&lt;/C&gt;&lt;/FQL&gt;&lt;FQL&gt;&lt;Q&gt;HCI^FE_TIMESERIES(GROSSINCOME,MEAN,-8FY,-8FY,FY,'BKRACTMED=1,WIN=0,CURRENCY=USD,UNITS=AUTO,DATE=NOW')&lt;/Q&gt;&lt;R&gt;0&lt;/R&gt;&lt;C&gt;0&lt;/C&gt;&lt;/FQL&gt;&lt;FQL&gt;&lt;Q&gt;HCI^FE_TIMESERIES(GROSSINCOME,MEAN,-9FY,-9FY,FY,'BKRACTMED=1,WIN=0,CURRENCY=USD,UNITS=AUTO,DATE=NOW')&lt;/Q&gt;&lt;R&gt;0&lt;/R&gt;&lt;C&gt;0&lt;/C&gt;&lt;/FQL&gt;&lt;FQL&gt;&lt;Q&gt;HCI^FE_TIMESERIES(GROSSINCOME,MEAN,-10FY,-10FY,FY,'BKRACTMED=1,WIN=0,CURRENCY=USD,UNITS=AUTO,DATE=NOW')&lt;/Q&gt;&lt;R&gt;0&lt;/R&gt;&lt;C&gt;0&lt;/C&gt;&lt;/FQL&gt;&lt;FQL&gt;&lt;Q&gt;HCI^FE_TIMESERIES(SALES,MEAN,0FY,0FY,FY,'BKRACTMED=1,WIN=0,CURRENCY=USD,UNITS=AUTO,DATE=NOW')&lt;/Q&gt;&lt;R&gt;1&lt;/R&gt;&lt;C&gt;1&lt;/C&gt;&lt;D xsi:type="xsd:double"&gt;499.563&lt;/D&gt;&lt;/FQL&gt;&lt;FQL&gt;&lt;Q&gt;HCI^FE_TIMESERIES(SALES,MEAN,-1FY,-1FY,FY,'BKRACTMED=1,WIN=0,CURRENCY=USD,UNITS=AUTO,DATE=NOW')&lt;/Q&gt;&lt;R&gt;1&lt;/R&gt;&lt;C&gt;1&lt;/C&gt;&lt;D xsi:type="xsd:double"&gt;407.915&lt;/D&gt;&lt;/FQL&gt;&lt;FQL&gt;&lt;Q&gt;HCI^FE_TIMESERIES(SALES,MEAN,-2FY,-2FY,FY,'BKRACTMED=1,WIN=0,CURRENCY=USD,UNITS=AUTO,DATE=NOW')&lt;/Q&gt;&lt;R&gt;1&lt;/R&gt;&lt;C&gt;1&lt;/C&gt;&lt;D xsi:type="xsd:double"&gt;310.437&lt;/D&gt;&lt;/FQL&gt;&lt;FQL&gt;&lt;Q&gt;HCI^FE_TIMESERIES(SALES,MEAN,-3FY,-3FY,FY,'BKRACTMED=1,WIN=0,CURRENCY=USD,UNITS=AUTO,DATE=NOW')&lt;/Q&gt;&lt;R&gt;1&lt;/R&gt;&lt;C&gt;1&lt;/C&gt;&lt;D xsi:type="xsd:double"&gt;242.474&lt;/D&gt;&lt;/FQL&gt;&lt;FQL&gt;&lt;Q&gt;HCI^FE_TIMESERIES(SALES,MEAN,-4FY,-4FY,FY,'BKRA</t>
        </r>
      </text>
    </comment>
    <comment ref="A2" authorId="0" shapeId="0" xr:uid="{645F26E4-29B6-45EC-86DF-0064B294E8CA}">
      <text>
        <r>
          <rPr>
            <b/>
            <sz val="9"/>
            <color indexed="81"/>
            <rFont val="Tahoma"/>
            <family val="2"/>
          </rPr>
          <t>CTMED=1,WIN=0,CURRENCY=USD,UNITS=AUTO,DATE=NOW')&lt;/Q&gt;&lt;R&gt;1&lt;/R&gt;&lt;C&gt;1&lt;/C&gt;&lt;D xsi:type="xsd:double"&gt;231.292&lt;/D&gt;&lt;/FQL&gt;&lt;FQL&gt;&lt;Q&gt;HCI^FE_TIMESERIES(SALES,MEAN,-5FY,-5FY,FY,'BKRACTMED=1,WIN=0,CURRENCY=USD,UNITS=AUTO,DATE=NOW')&lt;/Q&gt;&lt;R&gt;1&lt;/R&gt;&lt;C&gt;1&lt;/C&gt;&lt;D xsi:type="xsd:double"&gt;244.406&lt;/D&gt;&lt;/FQL&gt;&lt;FQL&gt;&lt;Q&gt;HCI^FE_TIMESERIES(SALES,MEAN,-6FY,-6FY,FY,'BKRACTMED=1,WIN=0,CURRENCY=USD,UNITS=AUTO,DATE=NOW')&lt;/Q&gt;&lt;R&gt;1&lt;/R&gt;&lt;C&gt;1&lt;/C&gt;&lt;D xsi:type="xsd:double"&gt;264.446&lt;/D&gt;&lt;/FQL&gt;&lt;FQL&gt;&lt;Q&gt;HCI^FE_TIMESERIES(SALES,MEAN,-7FY,-7FY,FY,'BKRACTMED=1,WIN=0,CURRENCY=USD,UNITS=AUTO,DATE=NOW')&lt;/Q&gt;&lt;R&gt;1&lt;/R&gt;&lt;C&gt;1&lt;/C&gt;&lt;D xsi:type="xsd:double"&gt;285.952&lt;/D&gt;&lt;/FQL&gt;&lt;FQL&gt;&lt;Q&gt;HCI^FE_TIMESERIES(SALES,MEAN,-8FY,-8FY,FY,'BKRACTMED=1,WIN=0,CURRENCY=USD,UNITS=AUTO,DATE=NOW')&lt;/Q&gt;&lt;R&gt;1&lt;/R&gt;&lt;C&gt;1&lt;/C&gt;&lt;D xsi:type="xsd:double"&gt;266.108&lt;/D&gt;&lt;/FQL&gt;&lt;FQL&gt;&lt;Q&gt;HCI^FE_TIMESERIES(SALES,MEAN,-9FY,-9FY,FY,'BKRACTMED=1,WIN=0,CURRENCY=USD,UNITS=AUTO,DATE=NOW')&lt;/Q&gt;&lt;R&gt;1&lt;/R&gt;&lt;C&gt;1&lt;/C&gt;&lt;D xsi:type="xsd:double"&gt;241.088&lt;/D&gt;&lt;/FQL&gt;&lt;FQL&gt;&lt;Q&gt;HCI^FE_TIMESERIES(SALES,MEAN,-10FY,-10FY,FY,'BKRACTMED=1,WIN=0,CURRENCY=USD,UNITS=AUTO,DATE=NOW')&lt;/Q&gt;&lt;R&gt;1&lt;/R&gt;&lt;C&gt;1&lt;/C&gt;&lt;D xsi:type="xsd:double"&gt;233.607&lt;/D&gt;&lt;/FQL&gt;&lt;FQL&gt;&lt;Q&gt;HCI^CONVERT_DATE(FF_FISCAL_DATE(ANN_R,0FY,0FY,,,"","DATEJ"),"MM/YYYY")&lt;/Q&gt;&lt;R&gt;1&lt;/R&gt;&lt;C&gt;1&lt;/C&gt;&lt;D xsi:type="xsd:string"&gt;12/2022&lt;/D&gt;&lt;/FQL&gt;&lt;FQL&gt;&lt;Q&gt;HCI^CONVERT_DATE(FF_FISCAL_DATE(ANN_R,-1FY,-1FY,,,"","DATEJ"),"MM/YYYY")&lt;/Q&gt;&lt;R&gt;1&lt;/R&gt;&lt;C&gt;1&lt;/C&gt;&lt;D xsi:type="xsd:string"&gt;12/2021&lt;/D&gt;&lt;/FQL&gt;&lt;FQL&gt;&lt;Q&gt;HCI^CONVERT_DATE(FF_FISCAL_DATE(ANN_R,-2FY,-2FY,,,"","DATEJ"),"MM/YYYY")&lt;/Q&gt;&lt;R&gt;1&lt;/R&gt;&lt;C&gt;1&lt;/C&gt;&lt;D xsi:type="xsd:string"&gt;12/2020&lt;/D&gt;&lt;/FQL&gt;&lt;FQL&gt;&lt;Q&gt;HCI^CONVERT_DATE(FF_FISCAL_DATE(ANN_R,-3FY,-3FY,,,"","DATEJ"),"MM/YYYY")&lt;/Q&gt;&lt;R&gt;1&lt;/R&gt;&lt;C&gt;1&lt;/C&gt;&lt;D xsi:type="xsd:string"&gt;12/2019&lt;/D&gt;&lt;/FQL&gt;&lt;FQL&gt;&lt;Q&gt;HCI^CONVERT_DATE(FF_FISCAL_DATE(ANN_R,-4FY,-4FY,,,"","DATEJ"),"MM/YYYY")&lt;/Q&gt;&lt;R&gt;1&lt;/R&gt;&lt;C&gt;1&lt;/C&gt;&lt;D xsi:type="xsd:string"&gt;12/2018&lt;/D&gt;&lt;/FQL&gt;&lt;FQL&gt;&lt;Q&gt;HCI^CONVERT_DATE(FF_FISCAL_DATE(ANN_R,-5FY,-5FY,,,"","DATEJ"),"MM/YYYY")&lt;/Q&gt;&lt;R&gt;1&lt;/R&gt;&lt;C&gt;1&lt;/C&gt;&lt;D xsi:type="xsd:string"&gt;12/2017&lt;/D&gt;&lt;/FQL&gt;&lt;FQL&gt;&lt;Q&gt;HCI^CONVERT_DATE(FF_FISCAL_DATE(ANN_R,-6FY,-6FY,,,"","DATEJ"),"MM/YYYY")&lt;/Q&gt;&lt;R&gt;1&lt;/R&gt;&lt;C&gt;1&lt;/C&gt;&lt;D xsi:type="xsd:string"&gt;12/2016&lt;/D&gt;&lt;/FQL&gt;&lt;FQL&gt;&lt;Q&gt;HCI^CONVERT_DATE(FF_FISCAL_DATE(ANN_R,-7FY,-7FY,,,"","DATEJ"),"MM/YYYY")&lt;/Q&gt;&lt;R&gt;1&lt;/R&gt;&lt;C&gt;1&lt;/C&gt;&lt;D xsi:type="xsd:string"&gt;12/2015&lt;/D&gt;&lt;/FQL&gt;&lt;FQL&gt;&lt;Q&gt;HCI^CONVERT_DATE(FF_FISCAL_DATE(ANN_R,-8FY,-8FY,,,"","DATEJ"),"MM/YYYY")&lt;/Q&gt;&lt;R&gt;1&lt;/R&gt;&lt;C&gt;1&lt;/C&gt;&lt;D xsi:type="xsd:string"&gt;12/2014&lt;/D&gt;&lt;/FQL&gt;&lt;FQL&gt;&lt;Q&gt;HCI^CONVERT_DATE(FF_FISCAL_DATE(ANN_R,-9FY,-9FY,,,"","DATEJ"),"MM/YYYY")&lt;/Q&gt;&lt;R&gt;1&lt;/R&gt;&lt;C&gt;1&lt;/C&gt;&lt;D xsi:type="xsd:string"&gt;12/2013&lt;/D&gt;&lt;/FQL&gt;&lt;FQL&gt;&lt;Q&gt;HCI^CONVERT_DATE(FF_FISCAL_DATE(ANN_R,-10FY,-10FY,,,"","DATEJ"),"MM/YYYY")&lt;/Q&gt;&lt;R&gt;1&lt;/R&gt;&lt;C&gt;1&lt;/C&gt;&lt;D xsi:type="xsd:string"&gt;12/2012&lt;/D&gt;&lt;/FQL&gt;&lt;FQL&gt;&lt;Q&gt;HCI^FE_TIMESERIES(TOTALDEBT,MEAN,0FY,0FY,FY,'BKRACTMED=1,WIN=0,CURRENCY=USD,UNITS=AUTO,DATE=NOW')&lt;/Q&gt;&lt;R&gt;0&lt;/R&gt;&lt;C&gt;0&lt;/C&gt;&lt;/FQL&gt;&lt;FQL&gt;&lt;Q&gt;HCI^FE_TIMESERIES(TOTALDEBT,MEAN,-1FY,-1FY,FY,'BKRACTMED=1,WIN=0,CURRENCY=USD,UNITS=AUTO,DATE=NOW')&lt;/Q&gt;&lt;R&gt;0&lt;/R&gt;&lt;C&gt;0&lt;/C&gt;&lt;/FQL&gt;&lt;FQL&gt;&lt;Q&gt;HCI^FE_TIMESERIES(TOTALDEBT,MEAN,-2FY,-2FY,FY,'BKRACTMED=1,WIN=0,CURRENCY=USD,UNITS=AUTO,DATE=NOW')&lt;/Q&gt;&lt;R&gt;0&lt;/R&gt;&lt;C&gt;0&lt;/C&gt;&lt;/FQL&gt;&lt;FQL&gt;&lt;Q&gt;HCI^FE_TIMESERIES(TOTALDEBT,MEAN,-3FY,-3FY,FY,'BKRACTMED=1,WIN=0,CURRENCY=USD,UNITS=AUTO,DATE=NOW')&lt;/Q&gt;&lt;R&gt;0&lt;/R&gt;&lt;C&gt;0&lt;/C&gt;&lt;/FQL&gt;&lt;FQL&gt;&lt;Q&gt;HCI^FE_TIMESERIES(TOTALDEBT,MEAN,-4FY,-4FY,FY,'BKRACTMED=1,WIN=0,CURRENCY=USD,UNITS=AUTO,DATE=NOW')&lt;/Q&gt;&lt;R&gt;0&lt;/R&gt;&lt;C&gt;0&lt;/C&gt;&lt;/FQL&gt;&lt;FQL&gt;&lt;Q&gt;HCI^FE_TIMESERIES(TOTALDEBT,MEAN,-5FY,-5FY,FY,'BKRACTMED=1,WIN=0,CURRENCY=USD,UNITS=AUTO,DATE=NOW')&lt;/Q&gt;&lt;R&gt;0&lt;/R&gt;&lt;C&gt;0&lt;/C&gt;&lt;/FQL&gt;&lt;FQL&gt;&lt;Q&gt;HCI^FE_TIMESERIES(TOTALDEBT,MEAN,-6FY,-6FY,FY,'BKRACTMED=1,WIN=0,CURRENCY=USD,UNITS=AUTO,DATE=NOW')&lt;/Q&gt;&lt;R&gt;0&lt;/R&gt;&lt;C&gt;0&lt;/C&gt;&lt;/FQL&gt;&lt;FQL&gt;&lt;Q&gt;HCI^FE_TIMESERIES(TOTALDEBT,MEAN,-7FY,-7FY,FY,'BKRACTMED=1,WIN=0,CURRENCY=USD,UNITS=AUTO,DATE=NOW')&lt;/Q&gt;&lt;R&gt;0&lt;/R&gt;&lt;C&gt;0&lt;/C&gt;&lt;/FQL&gt;&lt;FQL&gt;&lt;Q&gt;HCI^FE_TIMESERIES(TOTALDEBT,MEAN,-8FY,-8FY,FY,'BKRACTMED=1,WIN=0,CURRENCY=USD,UNITS=AUTO,DATE=NOW')&lt;/Q&gt;&lt;R&gt;0&lt;/R&gt;&lt;C&gt;0&lt;/C&gt;&lt;/FQL&gt;&lt;FQL&gt;&lt;Q&gt;HCI^FE_TIMESERIES(TOTALDEBT,MEAN,-9FY,-9FY,FY,'BKRACTMED=1,WIN=0,CURRENCY=USD,UNITS=AUTO,DATE=NOW')&lt;/Q&gt;&lt;R&gt;0&lt;/R&gt;&lt;C&gt;0&lt;/C&gt;&lt;/FQL&gt;&lt;FQL&gt;&lt;Q&gt;HCI^FE_TIMESERIES(TOTALDEBT,MEAN,-10FY,-10FY,FY,'BKRACTMED=1,WIN=0,CURRENCY=USD,UNITS=AUTO,DATE=NOW')&lt;/Q&gt;&lt;R&gt;0&lt;/R&gt;&lt;C&gt;0&lt;/C&gt;&lt;/FQL&gt;&lt;FQL&gt;&lt;Q&gt;HCI^FE_TIMESERIES(DEBT_LT,MEAN,0FY,0FY,FY,'BKRACTMED=1,WIN=0,CURRENCY=USD,UNITS=AUTO,DATE=NOW')&lt;/Q&gt;&lt;R&gt;0&lt;/R&gt;&lt;C&gt;0&lt;/C&gt;&lt;/FQL&gt;&lt;FQL&gt;&lt;Q&gt;HCI^FE_TIMESERIES(DEBT_LT,MEAN,-1FY,-1FY,FY,'BKRACTMED=1,WIN=0,CURRENCY=USD,UNITS=AUTO,DATE=NOW')&lt;/Q&gt;&lt;R&gt;0&lt;/R&gt;&lt;C&gt;0&lt;/C&gt;&lt;/FQL&gt;&lt;FQL&gt;&lt;Q&gt;HCI^FE_TIMESERIES(DEBT_LT,MEAN,-2FY,-2FY,FY,'BKRACTMED=1,WIN=0,CURRENCY=USD,UNITS=AUTO,DATE=NOW')&lt;/Q&gt;&lt;R&gt;0&lt;/R&gt;&lt;C&gt;0&lt;/C&gt;&lt;/FQL&gt;&lt;FQL&gt;&lt;Q&gt;HCI^FE_TIMESERIES(DEBT_LT,MEAN,-3FY,-3FY,FY,'BKRACTMED=1,WIN=0,CURRENCY=USD,UNITS=AUTO,DATE=NOW')&lt;/Q&gt;&lt;R&gt;0&lt;/R&gt;&lt;C&gt;0&lt;/C&gt;&lt;/FQL&gt;&lt;FQL&gt;&lt;Q&gt;HCI^FE_TIMESERIES(DEBT_LT,MEAN,-4FY,-4FY,FY,'BKRACTMED=1,WIN=0,CURRENCY=USD,UNITS=AUTO,DATE=NOW')&lt;/Q&gt;&lt;R&gt;0&lt;/R&gt;&lt;C&gt;0&lt;/C&gt;&lt;/FQL&gt;&lt;FQL&gt;&lt;Q&gt;HCI^FE_TIMESERIES(DEBT_LT,MEAN,-5FY,-5FY,FY,'BKRACTMED=1,WIN=0,CURRENCY=USD,UNITS=AUTO,DATE=NOW')&lt;/Q&gt;&lt;R&gt;0&lt;/R&gt;&lt;C&gt;0&lt;/C&gt;&lt;/FQL&gt;&lt;FQL&gt;&lt;Q&gt;HCI^FE_TIMESERIES(DEBT_LT,MEAN,-6FY,-6FY,FY,'BKRACTMED=1,WIN=0,CURRENCY=USD,UNITS=AUTO,DATE=NOW')&lt;/Q&gt;&lt;R&gt;0&lt;/R&gt;&lt;C&gt;0&lt;/C&gt;&lt;/FQL&gt;&lt;FQL&gt;&lt;Q&gt;HCI^FE_TIMESERIES(DEBT_LT,MEAN,-7FY,-7FY,FY,'BKRACTMED=1,WIN=0,CURRENCY=USD,UNITS=AUTO,DATE=NOW')&lt;/Q&gt;&lt;R&gt;0&lt;/R&gt;&lt;C&gt;0&lt;/C&gt;&lt;/FQL&gt;&lt;FQL&gt;&lt;Q&gt;HCI^FE_TIMESERIES(DEBT_LT,MEAN,-8FY,-8FY,FY,'BKRACTMED=1,WIN=0,CURRENCY=USD,UNITS=AUTO,DATE=NOW')&lt;/Q&gt;&lt;R&gt;0&lt;/R&gt;&lt;C&gt;0&lt;/C&gt;&lt;/FQL&gt;&lt;FQL&gt;&lt;Q&gt;HCI^FE_TIMESERIES(DEBT_LT,MEAN,-9FY,-9FY,FY,'BKRACTMED=1,WIN=0,CURRENCY=USD,UNITS=AUTO,DATE=NOW')&lt;/Q&gt;&lt;R&gt;0&lt;/R&gt;&lt;C&gt;0&lt;/C&gt;&lt;/FQL&gt;&lt;FQL&gt;&lt;Q&gt;HCI^FE_TIMESERIES(DEBT_LT,MEAN,-10FY,-10FY,FY,'BKRACTMED=1,WIN=0,CURRENCY=USD,UNITS=AUTO,DATE=NOW')&lt;/Q&gt;&lt;R&gt;0&lt;/R&gt;&lt;C&gt;0&lt;/C&gt;&lt;/FQL&gt;&lt;FQL&gt;&lt;Q&gt;HCI^FE_TIMESERIES(DEBT_ST,MEAN,0FY,0FY,FY,'BKRACTMED=1,WIN=0,CURRENCY=USD,UNITS=AUTO,DATE=NOW')&lt;/Q&gt;&lt;R&gt;0&lt;/R&gt;&lt;C&gt;0&lt;/C&gt;&lt;/FQL&gt;&lt;FQL&gt;&lt;Q&gt;HCI^FE_TIMESERIES(DEBT_ST,MEAN,-1FY,-1FY,FY,'BKRACTMED=1,WIN=0,CURRENCY=USD,UNITS=AUTO,DATE=NOW')&lt;/Q&gt;&lt;R&gt;0&lt;/R&gt;&lt;C&gt;0&lt;/C&gt;&lt;/FQL&gt;&lt;FQL&gt;&lt;Q&gt;HCI^FE_TIMESERIES(DEBT_ST,MEAN,-2FY,-2FY,FY,'BKRACTMED=1,WIN=0,CURRENCY=USD,UNITS=AUTO,DATE=NOW')&lt;/Q&gt;&lt;R&gt;0&lt;/R&gt;&lt;C&gt;0&lt;/C&gt;&lt;/FQL&gt;&lt;FQL&gt;&lt;Q&gt;HCI^FE_TIMESERIES(DEBT_ST,MEAN,-3FY,-3FY,FY,'BKRACTMED=1,WIN=0,CURRENCY=USD,UNITS=AUTO,DATE=NOW')&lt;/Q&gt;&lt;R&gt;0&lt;/R&gt;&lt;C&gt;0&lt;/C&gt;&lt;/FQL&gt;&lt;FQL&gt;&lt;Q&gt;HCI^FE_TIMESERIES(DEBT_ST,MEAN,-4FY,-4FY,FY,'BKRACTMED=1,WIN=0,CURRENCY=USD,UNITS=AUTO,DATE=NOW')&lt;/Q&gt;&lt;R&gt;0&lt;/R&gt;&lt;C&gt;0&lt;/C&gt;&lt;/FQL&gt;&lt;FQL&gt;&lt;Q&gt;HCI^FE_TIMESERIES(DEBT_ST,MEAN,-5FY,-5FY,FY,'BKRACTMED=1,WIN=0,CURRENCY=USD,UNITS=AUTO,DATE=NOW')&lt;/Q&gt;&lt;R&gt;0&lt;/R&gt;&lt;C&gt;0&lt;/C&gt;&lt;/FQL&gt;&lt;FQL&gt;&lt;Q&gt;HCI^FE_TIMESERIES(DEBT_ST,MEAN,-6FY,-6FY,FY,'BKRACTMED=1,WIN=0,CURRENCY=USD,UNITS=AUTO,DATE=NOW')&lt;/Q&gt;&lt;R&gt;0&lt;/R&gt;&lt;C&gt;0&lt;/C&gt;&lt;/FQL&gt;&lt;FQL&gt;&lt;Q&gt;HCI^FE_TIMESERIES(DEBT_ST,MEAN,-7FY,-7FY,FY,'BKRACTMED=1,WIN=0,CURRENCY=USD,UNITS=AUTO,DATE=NOW')&lt;/Q&gt;&lt;R&gt;0&lt;/R&gt;&lt;C&gt;0&lt;/C&gt;&lt;/FQL&gt;&lt;FQL&gt;&lt;Q&gt;HCI^FE_TIMESERIES(DEBT_ST,MEAN,-8FY,-8FY,FY,'BKRACTMED=1,WIN=0,CURRENCY=USD,UNITS=AUTO,DATE=NOW')&lt;/Q&gt;&lt;R&gt;0&lt;/R&gt;&lt;C&gt;0&lt;/C&gt;&lt;/FQL&gt;&lt;FQL&gt;&lt;Q&gt;HCI^FE_TIMESERIES(DEBT_ST,MEAN,-9FY,-9FY,FY,'BKRACTMED=1,WIN=0,CURRENCY=USD,UNITS=AUTO,DATE=NOW')&lt;/Q&gt;&lt;R&gt;0&lt;/R&gt;&lt;C&gt;0&lt;/C&gt;&lt;/FQL&gt;&lt;FQL&gt;&lt;Q&gt;HCI^FE_TIMESERIES(DEBT_ST,MEAN,-10FY,-10FY,FY,'BKRACTMED=1,WIN=0,CURRENCY=USD,UNITS=AUTO,DATE=NOW')&lt;/Q&gt;&lt;R&gt;0&lt;/R&gt;&lt;C&gt;0&lt;/C&gt;&lt;/FQL&gt;&lt;FQL&gt;&lt;Q&gt;HCI^FE_TIMESERIES(CURRENTLIABILITIES,MEAN,0FY,0FY,FY,'BKRACTMED=1,WIN=0,CURRENCY=USD,UNITS=AUTO,DATE=NOW')&lt;/Q&gt;&lt;R&gt;0&lt;/R&gt;&lt;C&gt;0&lt;/C&gt;&lt;/FQL&gt;&lt;FQL&gt;&lt;Q&gt;HCI^FE_TIMESERIES(CURRENTLIABILITIES,MEAN,-1FY,-1FY,FY,'BKRACTMED=1,WIN=0,CURRENCY=USD,UNITS=AUTO,DATE=NOW')&lt;/Q&gt;&lt;R&gt;0&lt;/R&gt;&lt;C&gt;0&lt;/C&gt;&lt;/FQL&gt;&lt;FQL&gt;&lt;Q&gt;HCI^FE_TIMESERIES(CURRENTLIABILITIES,MEAN,-2FY,-2FY,FY,'BKRACTMED=1,WIN=0,CURRENCY=USD,UNITS=AUTO,DATE=NOW')&lt;/Q&gt;&lt;R&gt;0&lt;/R&gt;&lt;C&gt;0&lt;/C&gt;&lt;/FQL&gt;&lt;FQL&gt;&lt;Q&gt;HCI^FE_TIMESERIES(CURRENTLIABILITIES,MEAN,-3FY,-3FY,FY,'BKRACTMED=1,WIN=0,CURRENCY=USD,UNITS=AUTO,DATE=NOW')&lt;/Q&gt;&lt;R&gt;0&lt;/R&gt;&lt;C&gt;0&lt;/C&gt;&lt;/FQL&gt;&lt;FQL&gt;&lt;Q&gt;HCI^FE_TIMESERIES(CURRENTLIABILITIES,MEAN,-4FY,-4FY,FY,'BKRACTMED=1,WIN=0,CURRENCY=USD,UNITS=AUTO,DATE=NOW')&lt;/Q&gt;&lt;R&gt;0&lt;/R&gt;&lt;C&gt;0&lt;/C&gt;&lt;/FQL&gt;&lt;FQL&gt;&lt;Q&gt;HCI^FE_TIMESERIES(CURRENTLIABILITIES,MEAN,-5FY,-5FY,FY,'BKRACTMED=1,WIN=0,CURRENCY=USD,UNITS=AUTO,DATE=NOW')&lt;/Q&gt;&lt;R&gt;0&lt;/R&gt;&lt;C&gt;0&lt;/C&gt;&lt;/FQL&gt;&lt;FQL&gt;&lt;Q&gt;HCI^FE_TIMESERIES(CURRENTLIABILITIES,MEAN,-6FY,-6FY,FY,'BKRACTMED=1,WIN=0,CURRENCY=USD,UNITS=AUTO,DATE=NOW')&lt;/Q&gt;&lt;R&gt;0&lt;/R&gt;&lt;C&gt;0&lt;/C&gt;&lt;/FQL&gt;&lt;FQL&gt;&lt;Q&gt;HCI^FE_TIMESERIES(CURRENTLIABILITIES,MEAN,-7FY,-7FY,FY,'BKRACTMED=1,WIN=0,CURRENCY=USD,UNITS=AUTO,DATE=NOW')&lt;/Q&gt;&lt;R&gt;0&lt;/R&gt;&lt;C&gt;0&lt;/C&gt;&lt;/FQL&gt;&lt;FQL&gt;&lt;Q&gt;HCI^FE_TIMESERIES(CURRENTLIABILITIES,MEAN,-8FY,-8FY,FY,'BKRACTMED=1,WIN=0,CURRENCY=USD,UNITS=AUTO,DATE=NOW')&lt;/Q&gt;&lt;R&gt;0&lt;/R&gt;&lt;C&gt;0&lt;/C&gt;&lt;/FQL&gt;&lt;FQL&gt;&lt;Q&gt;HCI^FE_TIMESERIES(CURRENTLIABILITIES,MEAN,-9FY,-9FY,FY,'BKRACTMED=1,WIN=0,CURRENCY=USD,UNITS=AUTO,DATE=NOW')&lt;/Q&gt;&lt;R&gt;0&lt;/R&gt;&lt;C&gt;0&lt;/C&gt;&lt;/FQL&gt;&lt;FQL&gt;&lt;Q&gt;HCI^FE_TIMESERIES(CURRENTLIABILITIES,MEAN,-10FY,-10FY,FY,'BKRACTMED=1,WIN=0,CURRENCY=USD,UNITS=AUTO,DATE=NOW')&lt;/Q&gt;&lt;R&gt;0&lt;/R&gt;&lt;C&gt;0&lt;/C&gt;&lt;/FQL&gt;&lt;FQL&gt;&lt;Q&gt;HCI^FE_TIMESERIES(PAY_ACCT,MEAN,0FY,0FY,FY,'BKRACTMED=1,WIN=0,CURRENCY=USD,UNITS=AUTO,DATE=NOW')&lt;/Q&gt;&lt;R&gt;0&lt;/R&gt;&lt;C&gt;0&lt;/C&gt;&lt;/FQL&gt;&lt;FQL&gt;&lt;Q&gt;HCI^FE_TIMESERIES(PAY_ACCT,MEAN,-1FY,-1FY,FY,'BKRACTMED=1,WIN=0,CURRENCY=USD,UNITS=AUTO,DATE=NOW')&lt;/Q&gt;&lt;R&gt;0&lt;/R&gt;&lt;C&gt;0&lt;/C&gt;&lt;/FQL&gt;&lt;FQL&gt;&lt;Q&gt;HCI^FE_TIMESERIES(PAY_ACCT,MEAN,-2FY,-2FY,FY,'BKRACTMED=1,WIN=0,CURRENCY=USD,UNITS=AUTO,DATE=NOW')&lt;/Q&gt;&lt;R&gt;0&lt;/R&gt;&lt;C&gt;0&lt;/C&gt;&lt;/FQL&gt;&lt;FQL&gt;&lt;Q&gt;HCI^FE_TIMESERIES(PAY_ACCT,MEAN,-3FY,-3FY,FY,'BKRACTMED=1,WIN=0,CURRENCY=USD,UNITS=AUTO,DATE=NOW')&lt;/Q&gt;&lt;R&gt;0&lt;/R&gt;&lt;C&gt;0&lt;/C&gt;&lt;/FQL&gt;&lt;FQL&gt;&lt;Q&gt;HCI^FE_TIMESERIES(PAY_ACCT,MEAN,-4FY,-4FY,FY,'BKRACTMED=1,WIN=0,CURRENCY=USD,UNITS=AUTO,DATE=NOW')&lt;/Q&gt;&lt;R&gt;0&lt;/R&gt;&lt;C&gt;0&lt;/C&gt;&lt;/FQL&gt;&lt;FQL&gt;&lt;Q&gt;HCI^FE_TIMESERIES(PAY_ACCT,MEAN,-5FY,-5FY,FY,'BKRACTMED=1,WIN=0,CURRENCY=USD,UNITS=AUTO,DATE=NOW')&lt;/Q&gt;&lt;R&gt;0&lt;/R&gt;&lt;C&gt;0&lt;/C&gt;&lt;/FQL&gt;&lt;FQL&gt;&lt;Q&gt;HCI^FE_TIMESERIES(PAY_ACCT,MEAN,-6FY,-6FY,FY,'BKRACTMED=1,WIN=0,CURRENCY=USD,UNITS=AUTO,DATE=NOW')&lt;/Q&gt;&lt;R&gt;0&lt;/R&gt;&lt;C&gt;0&lt;/C&gt;&lt;/FQL&gt;&lt;FQL&gt;&lt;Q&gt;HCI^FE_TIMESERIES(PAY_ACCT,MEAN,-7FY,-7FY,FY,'BKRACTMED=1,WIN=0,CURRENCY=USD,UNITS=AUTO,DATE=NOW')&lt;/Q&gt;&lt;R&gt;0&lt;/R&gt;&lt;C&gt;0&lt;/C&gt;&lt;/FQL&gt;&lt;FQL&gt;&lt;Q&gt;HCI^FE_TIMESERIES(PAY_ACCT,MEAN,-8FY,-8FY,FY,'BKRACTMED=1,WIN=0,CURRENCY=USD,UNITS=AUTO,DATE=NOW')&lt;/Q&gt;&lt;R&gt;0&lt;/R&gt;&lt;C&gt;0&lt;/C&gt;&lt;/FQL&gt;&lt;FQL&gt;&lt;Q&gt;HCI^FE_TIMESERIES(PAY_ACCT,MEAN,-9FY,-9FY,FY,'BKRACTMED=1,WIN=0,CURRENCY=USD,UNITS=AUTO,DATE=NOW')&lt;/Q&gt;&lt;R&gt;0&lt;/R&gt;&lt;C&gt;0&lt;/C&gt;&lt;/FQL&gt;&lt;FQL&gt;&lt;Q&gt;HCI^FE_TIMESERIES(PAY_ACCT,MEAN,-10FY,-10FY,FY,'BKRACTMED=1,WIN=0,CURRENCY=USD,UNITS=AUTO,DATE=NOW')&lt;/Q&gt;&lt;R&gt;0&lt;/R&gt;&lt;C&gt;0&lt;/C&gt;&lt;/FQL&gt;&lt;FQL&gt;&lt;Q&gt;HCI^FF_FREE_CF(LTM_R,0,,,,LOCAL)@FF_FREE_CF(LTM_SEMI_R,0,,,,LOCAL)&lt;/Q&gt;&lt;R&gt;1&lt;/R&gt;&lt;C&gt;1&lt;/C&gt;&lt;D xsi:type="xsd:double"&gt;-28.404&lt;/D&gt;&lt;/FQL&gt;&lt;FQL&gt;&lt;Q&gt;HCI^FF_CHG_CASH_CF(LTM_R,0,,,,LOCAL)@FF_CHG_CASH_CF(LTM_SEMI_R,0,,,,LOCAL)&lt;/Q&gt;&lt;R&gt;1&lt;/R&gt;&lt;C&gt;1&lt;/C&gt;&lt;D xsi:type="xsd:double"&gt;-66.11&lt;/D&gt;&lt;/FQL&gt;&lt;FQL&gt;&lt;Q&gt;HCI^FF_FOR_EXCH_CF(LTM_R,0,,,,LOCAL)@FF_FOR_EXCH_CF(LTM_SEMI_R,0,,,,LOCAL)&lt;/Q&gt;&lt;R&gt;1&lt;/R&gt;&lt;C&gt;1&lt;/C&gt;&lt;D xsi:type="xsd:double"&gt;-0.044&lt;/D&gt;&lt;/FQL&gt;&lt;FQL&gt;&lt;Q&gt;HCI^FF_FIN_CF(LTM_R,0,,,,LOCAL)@FF_FIN_CF(LTM_SEMI_R,0,,,,LOCAL)&lt;/Q&gt;&lt;R&gt;1&lt;/R&gt;&lt;C&gt;1&lt;/C&gt;&lt;D xsi:type="xsd:double"&gt;-35.347&lt;/D&gt;&lt;/FQL&gt;&lt;FQL&gt;&lt;Q&gt;HCI^FF_DIV_COM_CF(LTM_R,0,,,,LOCAL)@FF_DIV_COM_CF(LTM_SEMI_R,0,,,,LOCAL)&lt;/Q&gt;&lt;R&gt;1&lt;/R&gt;&lt;C&gt;1&lt;/C&gt;&lt;D xsi:type="xsd:double"&gt;13.934&lt;/D&gt;&lt;/FQL&gt;&lt;FQL&gt;&lt;Q&gt;HCI^FF_INVEST_CF(LTM_R,0,,,,LOCAL)@FF_INVEST_CF(LTM_SEMI_R,0,,,,LOCAL)&lt;/Q&gt;&lt;R&gt;1&lt;/R&gt;&lt;C&gt;1&lt;/C&gt;&lt;D xsi:type="xsd:double"&gt;-21.123&lt;/D&gt;&lt;/FQL&gt;&lt;FQL&gt;&lt;Q&gt;HCI^FF_CAPEX_FIX(LTM_R,0,,,,LOCAL)@FF_CAPEX_FIX(LTM_SEMI_R,0,,,,LOCAL)&lt;/Q&gt;&lt;R&gt;1&lt;/R&gt;&lt;C&gt;1&lt;/C&gt;&lt;D xsi:type="xsd:double"&gt;4.874&lt;/D&gt;&lt;/FQL&gt;&lt;FQL&gt;&lt;Q&gt;HCI^FF_OPER_CF(LTM_R,0,,,,LOCAL)@FF_OPER_CF(LTM_SEMI_R,0,,,,LOCAL)&lt;/Q&gt;&lt;R&gt;1&lt;/R&gt;&lt;C&gt;1&lt;/C&gt;&lt;D xsi:type="xsd:double"&gt;-9.596&lt;/D&gt;&lt;/FQL&gt;&lt;FQL&gt;&lt;Q&gt;HCI^FF_FUNDS_OPER_GROSS(LTM_R,0,,,,LOCAL)@FF_FUNDS_OPER_GROSS(LTM_SEMI_R,0,,,,LOCAL)&lt;/Q&gt;&lt;R&gt;1&lt;/R&gt;&lt;C&gt;1&lt;/C&gt;&lt;D xsi:type="xsd:double"&gt;-18.521&lt;/D&gt;&lt;/FQL&gt;&lt;FQL&gt;&lt;Q&gt;HCI^FE_ESTIMATE(FCF,MEDIAN,ANNUAL_ROLL,+3,0,,,'CURRENCY=LOCAL')&lt;/Q&gt;&lt;R&gt;0&lt;/R&gt;&lt;C&gt;0&lt;/C&gt;&lt;/FQL&gt;&lt;FQL&gt;&lt;Q&gt;HCI^FE_ESTIMATE(FCF,MEDIAN,ANNUAL_ROLL,+2,0,,,'CURRENCY=LOCAL')&lt;/Q&gt;&lt;R&gt;0&lt;/R&gt;&lt;C&gt;0&lt;/C&gt;&lt;/FQL&gt;&lt;FQL&gt;&lt;Q&gt;HCI^FE_ESTIMATE(FCF,MEDIAN,ANNUAL_ROLL,+1,0,,,'CURRENCY=LOCAL')&lt;/Q&gt;&lt;R&gt;0&lt;/R&gt;&lt;C&gt;0&lt;/C&gt;&lt;/FQL&gt;&lt;FQL&gt;&lt;Q&gt;HCI^FE_ESTIMATE(CF_FIN,MEDIAN,ANNUAL_ROLL,+3,0,,,'CURRENCY=LOCAL')&lt;/Q&gt;&lt;R&gt;0&lt;/R&gt;&lt;C&gt;0&lt;/C&gt;&lt;/FQL&gt;&lt;FQL&gt;&lt;Q&gt;HCI^FE_ESTIMATE(CF_FIN,MEDIAN,ANNUAL_ROLL,+2,0,,,'CURRENCY=LOCAL')&lt;/Q&gt;&lt;R&gt;0&lt;/R&gt;&lt;C&gt;0&lt;/C&gt;&lt;/FQL&gt;&lt;FQL&gt;&lt;Q&gt;HCI^FE_ESTIMATE(CF_FIN,MEDIAN,ANNUAL_ROLL,+1,0,,,'CURRENCY=LOCAL')&lt;/Q&gt;&lt;R&gt;0&lt;/R&gt;&lt;C&gt;0&lt;/C&gt;&lt;/FQL&gt;&lt;FQL&gt;&lt;Q&gt;HCI^FE_ESTIMATE(CF_INV,MEDIAN,ANNUAL_ROLL,+3,0,,,'CURRENCY=LOCAL')&lt;/Q&gt;&lt;R&gt;0&lt;/R&gt;&lt;C&gt;0&lt;/C&gt;&lt;/FQL&gt;&lt;FQL&gt;&lt;Q&gt;HCI^FE_ESTIMATE(CF_INV,MEDIAN,ANNUAL_ROLL,+2,0,,,'CURRENCY=LOCAL')&lt;/Q&gt;&lt;R&gt;0&lt;/R&gt;&lt;C&gt;0&lt;/C&gt;&lt;/FQL&gt;&lt;FQL&gt;&lt;Q&gt;HCI^FE_ESTIMATE(CF_INV,MEDIAN,ANNUAL_ROLL,+1,0,,,'CURRENCY=LOCAL')&lt;/Q&gt;&lt;R&gt;0&lt;/R&gt;&lt;C&gt;0&lt;/C&gt;&lt;/FQL&gt;&lt;FQL&gt;&lt;Q&gt;HCI^FE_ESTIMATE(CAPEX,MEDIAN,ANNUAL_ROLL,+3,0,,,'CURRENCY=LOCAL')&lt;/Q&gt;&lt;R&gt;0&lt;/R&gt;&lt;C&gt;0&lt;/C&gt;&lt;/FQL&gt;&lt;FQL&gt;&lt;Q&gt;HCI^FE_ESTIMATE(CAPEX,MEDIAN,ANNUAL_ROLL,+2,0,,,'CURRENCY=LOCAL')&lt;/Q&gt;&lt;R&gt;0&lt;/R&gt;&lt;C&gt;0&lt;/C&gt;&lt;/FQL&gt;&lt;FQL&gt;&lt;Q&gt;HCI^FE_ESTIMATE(CAPEX,MEDIAN,ANNUAL_ROLL,+1,0,,,'CURRENCY=LOCAL')&lt;/Q&gt;&lt;R&gt;0&lt;/R&gt;&lt;C&gt;0&lt;/C&gt;&lt;/FQL&gt;&lt;FQL&gt;&lt;Q&gt;HCI^FE_ESTIMATE(CF_OP,MEDIAN,ANNUAL_ROLL,+3,0,,,'CURRENCY=LOCAL')&lt;/Q&gt;&lt;R&gt;0&lt;/R&gt;&lt;C&gt;0&lt;/C&gt;&lt;/FQL&gt;&lt;FQL&gt;&lt;Q&gt;HCI^FE_ESTIMATE(CF_OP,MEDIAN,ANNUAL_ROLL,+2,0,,,'CURRENCY=LOCAL')&lt;/Q&gt;&lt;R&gt;0&lt;/R&gt;&lt;C&gt;0&lt;/C&gt;&lt;/FQL&gt;&lt;FQL&gt;&lt;Q&gt;HCI^FE_ESTIMATE(CF_OP,MEDIAN,ANNUAL_ROLL,+1,0,,,'CURRENCY=LOCAL')&lt;/Q&gt;&lt;R&gt;0&lt;/R&gt;&lt;C&gt;0&lt;/C&gt;&lt;/FQL&gt;&lt;FQL&gt;&lt;Q&gt;HCI^FE_ESTIMATE(FFO,MEDIAN,ANNUAL_ROLL,+3,0,,,'CURRENCY=LOCAL')&lt;/Q&gt;&lt;R&gt;0&lt;/R&gt;&lt;C&gt;0&lt;/C&gt;&lt;/FQL&gt;&lt;FQL&gt;&lt;Q&gt;HCI^FE_ESTIMATE(FFO,MEDIAN,ANNUAL_ROLL,+2,0,,,'CURRENCY=LOCAL')&lt;/Q&gt;&lt;R&gt;0&lt;/R&gt;&lt;C&gt;0&lt;/C&gt;&lt;/FQL&gt;&lt;FQL&gt;&lt;Q&gt;HCI^FE_ESTIMATE(FFO,MEDIAN,ANNUAL_ROLL,+1,0,,,'CURRENCY=LOCAL')&lt;/Q&gt;&lt;R&gt;0&lt;/R&gt;&lt;C&gt;0&lt;/C&gt;&lt;/FQL&gt;&lt;FQL&gt;&lt;Q&gt;HCI^FE_ESTIMATE(SHLDRS_EQ,MEDIAN,ANNUAL_ROLL,+3,0,,,'CURRENCY=LOCAL')&lt;/Q&gt;&lt;R&gt;0&lt;/R&gt;&lt;C&gt;0&lt;/C&gt;&lt;/FQL&gt;&lt;FQL&gt;&lt;Q&gt;HCI^FE_ESTIMATE(SHLDRS_EQ,MEDIAN,ANNUAL_ROLL,+2,0,,,'CURRENCY=LOCAL')&lt;/Q&gt;&lt;R&gt;1&lt;/R&gt;&lt;C&gt;1&lt;/C&gt;&lt;D xsi:type="xsd:double"&gt;206.171&lt;/D&gt;&lt;/FQL&gt;&lt;FQL&gt;&lt;Q&gt;HCI^FE_ESTIMATE(SHLDRS_EQ,MEDIAN,ANNUAL_ROLL,+1,0,,,'CURRENCY=LOCAL')&lt;/Q&gt;&lt;R&gt;1&lt;/R&gt;&lt;C&gt;1&lt;/C&gt;&lt;D xsi:type="xsd:double"&gt;187.8595&lt;/D&gt;&lt;/FQL&gt;&lt;FQL&gt;&lt;Q&gt;HCI^FE_ESTIMATE(DEBT,MEDIAN,ANNUAL_ROLL,+3,0,,,'CURRENCY=LOCAL')&lt;/Q&gt;&lt;R&gt;0&lt;/R&gt;&lt;C&gt;0&lt;/C&gt;&lt;/FQL&gt;&lt;FQL&gt;&lt;Q&gt;HCI^FE_ESTIMATE(DEBT,MEDIAN,ANNUAL_ROLL,+2,0,,,'CURRENCY=LOCAL')&lt;/Q&gt;&lt;R&gt;0&lt;/R&gt;&lt;C&gt;0&lt;/C&gt;&lt;/FQL&gt;&lt;FQL&gt;&lt;Q&gt;HCI^FE_ESTIMATE(DEBT,MEDIAN,ANNUAL_ROLL,+1,0,,,'CURRENCY=LOCAL')&lt;/Q&gt;&lt;R&gt;0&lt;/R&gt;&lt;C&gt;0&lt;/C&gt;&lt;/FQL&gt;&lt;FQL&gt;&lt;Q&gt;HCI^FE_ESTIMATE(CURRENT_LIABILITIES,MEDIAN,ANNUAL_ROLL,+3,0,,,'CURRENCY=LOCAL')&lt;/Q&gt;&lt;R&gt;0&lt;/R&gt;&lt;C&gt;0&lt;/C&gt;&lt;/FQL&gt;&lt;FQL&gt;&lt;Q&gt;HCI^FE_ESTIMATE(CURRENT_LIABILITIES,MEDIAN,ANNUAL_ROLL,+2,0,,,'CURRENCY=LOCAL')&lt;/Q&gt;&lt;R&gt;0&lt;/R&gt;&lt;C&gt;0&lt;/C&gt;&lt;/FQL&gt;&lt;FQL&gt;&lt;Q&gt;HCI^FE_ESTIMATE(CURRENT_LIABILITIES,MEDIAN,ANNUAL_ROLL,+1,0,,,'CURRENCY=LOCAL')&lt;/Q&gt;&lt;R&gt;0&lt;/R&gt;&lt;C&gt;0&lt;/C&gt;&lt;/FQL&gt;&lt;FQL&gt;&lt;Q&gt;HCI^FE_ESTIMATE(ASSETS,MEDIAN,ANNUAL,1,NOW,,,'CURRENCY=LOCAL')&lt;/Q&gt;&lt;R&gt;1&lt;/R&gt;&lt;C&gt;1&lt;/C&gt;&lt;D xsi:type="xsd:double"&gt;1730.8405&lt;/D&gt;&lt;/FQL&gt;&lt;FQL&gt;&lt;Q&gt;HCI^FE_ESTIMATE(CURRENT_ASSETS,MEDIAN,ANNUAL_ROLL,+3,0,,,'CURRENCY=LOCAL')&lt;/Q&gt;&lt;R&gt;0&lt;/R&gt;&lt;C&gt;0&lt;/C&gt;&lt;/FQL&gt;&lt;FQL&gt;&lt;Q&gt;HCI^FE_ESTIMATE(CURRENT_ASSETS,MEDIAN,ANNUAL_ROLL,+2,0,,,'CURRENCY=LOCAL')&lt;/Q&gt;&lt;R&gt;0&lt;/R&gt;&lt;C&gt;0&lt;/C&gt;&lt;/FQL&gt;&lt;FQL&gt;&lt;Q&gt;HCI^FE_ESTIMATE(CURRENT_ASSETS,MEDIAN,ANNUAL_ROLL,+1,0,,,'CURRENCY=LOCAL')&lt;/Q&gt;&lt;R&gt;0&lt;/R&gt;&lt;C&gt;0&lt;/C&gt;&lt;/FQL&gt;&lt;FQL&gt;&lt;Q&gt;HCI^FE_ESTIMATE(INVENTORIES,MEDIAN,ANNUAL_ROLL,+3,0,,,'CURRENCY=LOCAL')&lt;/Q&gt;&lt;R&gt;0&lt;/R&gt;&lt;C&gt;0&lt;/C&gt;&lt;/FQL&gt;&lt;FQL&gt;&lt;Q&gt;HCI^FE_ESTIMATE(INVENTORIES,MEDIAN,ANNUAL_ROLL,+2,0,,,'CURRENCY=LOCAL')&lt;/Q&gt;&lt;R&gt;0&lt;/R&gt;&lt;C&gt;0&lt;/C&gt;&lt;/FQL&gt;&lt;FQL&gt;&lt;Q&gt;HCI^FE_ESTIMATE(INVENTORIES,MEDIAN,ANNUAL_ROLL,+1,0,,,'CURRENCY=LOCAL')&lt;/Q&gt;&lt;R&gt;0&lt;/R&gt;&lt;C&gt;0&lt;/C&gt;&lt;/FQL&gt;&lt;FQL&gt;&lt;Q&gt;HCI^FE_ESTIMATE(NET_INC,MEDIAN,ANNUAL_ROLL,+3,0,,,'CURRENCY=LOCAL')&lt;/Q&gt;&lt;R&gt;0&lt;/R&gt;&lt;C&gt;0&lt;/C&gt;&lt;/FQL&gt;&lt;FQL&gt;&lt;Q&gt;HCI^FE_ESTIMATE(NET_INC,MEDIAN,ANNUAL_ROLL,+1,0,,,'CURRENCY=LOCAL')&lt;/Q&gt;&lt;R&gt;1&lt;/R&gt;&lt;C&gt;1&lt;/C&gt;&lt;D xsi:type="xsd:double"&gt;33.014&lt;/D&gt;&lt;/FQL&gt;&lt;FQL&gt;&lt;Q&gt;HCI^FE_ESTIMATE(TAX_EXPENSE,MEDIAN,ANNUAL_ROLL,+3,0,,,'CURRENCY=LOCAL')&lt;/Q&gt;&lt;R&gt;0&lt;/R&gt;&lt;C&gt;0&lt;/C&gt;&lt;/FQL&gt;&lt;FQL&gt;&lt;Q&gt;HCI^FE_ESTIMATE(TAX_EXPENSE,MEDIAN,ANNUAL_ROLL,+2,0,,,'CURRENCY=LOCAL')&lt;/Q&gt;&lt;R&gt;1&lt;/R&gt;&lt;C&gt;1&lt;/C&gt;&lt;D xsi:type="xsd:double"&gt;14.806&lt;/D&gt;&lt;/FQL&gt;&lt;FQL&gt;&lt;Q&gt;HCI^FE_ESTIMATE(TAX_EXPENSE,MEDIAN,ANNUAL_ROLL,+1,0,,,'CURRENCY=LOCAL')&lt;/Q&gt;&lt;R&gt;1&lt;/R&gt;&lt;C&gt;1&lt;/C&gt;&lt;D xsi:type="xsd:double"&gt;13.954&lt;/D&gt;&lt;/FQL&gt;&lt;FQL&gt;&lt;Q&gt;HCI^FE_ESTIMATE(PTX_INC,MEDIAN,ANNUAL_ROLL,+3,0,,,'CURRENCY=LOCAL')&lt;/Q&gt;&lt;R&gt;0&lt;/R&gt;&lt;C&gt;0&lt;/C&gt;&lt;/FQL&gt;&lt;FQL&gt;&lt;Q&gt;HCI^FE_ESTIMATE(PTX_INC,MEDIAN,ANNUAL_ROLL,+2,0,,,'CURRENCY=LOCAL')&lt;/Q&gt;&lt;R&gt;1&lt;/R&gt;&lt;C&gt;1&lt;/C&gt;&lt;D xsi:type="xsd:double"&gt;49.352&lt;/D&gt;&lt;/FQL&gt;&lt;FQL&gt;&lt;Q&gt;HCI^FE_ESTIMATE(PTX_INC,MEDIAN,ANNUAL_ROLL,+1,0,,,'CURRENCY=LOCAL')&lt;/Q&gt;&lt;R&gt;1&lt;/R&gt;&lt;C&gt;1&lt;/C&gt;&lt;D xsi:type="xsd:double"&gt;54.158&lt;/D&gt;&lt;/FQL&gt;&lt;FQL&gt;&lt;Q&gt;HCI^FE_ESTIMATE(INT_EXP,MEDIAN,ANNUAL_ROLL,+3,0,,,'CURRENCY=LOCAL')&lt;/Q&gt;&lt;R&gt;0&lt;/R&gt;&lt;C&gt;0&lt;/C&gt;&lt;/FQL&gt;&lt;FQL&gt;&lt;Q&gt;HCI^FE_ESTIMATE(INT_EXP,MEDIAN,ANNUAL_ROLL,+2,0,,,'CURRENCY=LOCAL')&lt;/Q&gt;&lt;R&gt;1&lt;/R&gt;&lt;C&gt;1&lt;/C&gt;&lt;D xsi:type="xsd:double"&gt;10&lt;/D&gt;&lt;/FQL&gt;&lt;FQL&gt;&lt;Q&gt;HCI^FE_ESTIMATE(INT_EXP,MEDIAN,ANNUAL_ROLL,+1,0,,,'CURRENCY=LOCAL')&lt;/Q&gt;&lt;R&gt;1&lt;/R&gt;&lt;C&gt;1&lt;/C&gt;&lt;D xsi:type="xsd:double"&gt;10.802&lt;/D&gt;&lt;/FQL&gt;&lt;FQL&gt;&lt;Q&gt;HCI^FE_ESTIMATE(EBIT,MEDIAN,ANNUAL_ROLL,+3,0,,,'CURRENCY=LOCAL')&lt;/Q&gt;&lt;R&gt;0&lt;/R&gt;&lt;C&gt;0&lt;/C&gt;&lt;/FQL&gt;&lt;FQL&gt;&lt;Q&gt;HCI^FE_ESTIMATE(EBIT,MEDIAN,ANNUAL_ROLL,+2,0,,,'CURRENCY=LOCAL')&lt;/Q&gt;&lt;R&gt;1&lt;/R&gt;&lt;C&gt;1&lt;/C&gt;&lt;D xsi:type="xsd:double"&gt;89.1&lt;/D&gt;&lt;/FQL&gt;&lt;FQL&gt;&lt;Q&gt;HCI^FE_ESTIMATE(EBIT,MEDIAN,ANNUAL_ROLL,+1,0,,,'CURRENCY=LOCAL')&lt;/Q&gt;&lt;R&gt;1&lt;/R&gt;&lt;C&gt;1&lt;/C&gt;&lt;D xsi:type="xsd:double"&gt;49.2&lt;/D&gt;&lt;/FQL&gt;&lt;FQL&gt;&lt;Q&gt;HCI^FE_ESTIMATE(SALES,MEDIAN,ANNUAL_ROLL,+3,0,,,'CURRENCY=LOCAL')&lt;/Q&gt;&lt;R&gt;0&lt;/R&gt;&lt;C&gt;0&lt;/C&gt;&lt;/FQL&gt;&lt;FQL&gt;&lt;Q&gt;HCI^FE_ESTIMATE(SALES,MEDIAN,ANNUAL_ROLL,+2,0,,,'CURRENCY=LOCAL')&lt;/Q&gt;&lt;R&gt;1&lt;/R&gt;&lt;C&gt;1&lt;/C&gt;&lt;D xsi:type="xsd:double"&gt;579.022&lt;/D&gt;&lt;/FQL&gt;&lt;FQL&gt;&lt;Q&gt;HCI^FE_ESTIMATE(SALES,MEDIAN,ANNUAL_ROLL,+1,0,,,'CURRENCY=LOCAL')&lt;/Q&gt;&lt;R&gt;1&lt;/R&gt;&lt;C&gt;1&lt;/C&gt;&lt;D xsi:type="xsd:double"&gt;508.976&lt;/D&gt;&lt;/FQL&gt;&lt;FQL&gt;&lt;Q&gt;HCI^FE_ACTUAL_DATE(FISCALPERIODEND,,ANNUAL,3,'MM/YYYY')&lt;/Q&gt;&lt;R&gt;1&lt;/R&gt;&lt;C&gt;1&lt;/C&gt;&lt;D xsi:type="xsd:string"&gt;12/2025&lt;/D&gt;&lt;/FQL&gt;&lt;FQL&gt;&lt;Q&gt;HCI^FE_ACTUAL_DATE(FISCALPERIODEND,,ANNUAL,2,'MM/YYYY')&lt;/Q&gt;&lt;R&gt;1&lt;/R&gt;&lt;C&gt;1&lt;/C&gt;&lt;D xsi:type="xsd:string"&gt;12/2024&lt;/D&gt;&lt;/FQL&gt;&lt;FQL&gt;&lt;Q&gt;HCI^FE_ACTUAL_DATE(FISCALPERIODEND,,ANNUAL,1,'MM/YYYY')&lt;/Q&gt;&lt;R&gt;1&lt;/R&gt;&lt;C&gt;1&lt;/C&gt;&lt;D xsi:type="xsd:string"&gt;12/2023&lt;/D&gt;&lt;/FQL&gt;&lt;FQL&gt;&lt;Q&gt;HCI^FF_SALES(,12/2012,,,,LOCAL)&lt;/Q&gt;&lt;R&gt;1&lt;/R&gt;&lt;C&gt;1&lt;/C&gt;&lt;D xsi:type="xsd:double"&gt;163.065&lt;/D&gt;&lt;/FQL&gt;&lt;FQL&gt;&lt;Q&gt;HCI^FF_SALES(,12/2013,,,,LOCAL)&lt;/Q&gt;&lt;R&gt;1&lt;/R&gt;&lt;C&gt;1&lt;/C&gt;&lt;D xsi:type="xsd:double"&gt;241.088&lt;/D&gt;&lt;/FQL&gt;&lt;FQL&gt;&lt;Q&gt;HCI^FF_SALES(,12/2014,,,,LOCAL)&lt;/Q&gt;&lt;R&gt;1&lt;/R&gt;&lt;C&gt;1&lt;/C&gt;&lt;D xsi:type="xsd:double"&gt;266.215&lt;/D&gt;&lt;/FQL&gt;&lt;FQL&gt;&lt;Q&gt;HCI^FF_SALES(,12/2015,,,,LOCAL)&lt;/Q&gt;&lt;R&gt;1&lt;/R&gt;&lt;C&gt;1&lt;/C&gt;&lt;D xsi:type="xsd:double"&gt;290.633&lt;/D&gt;&lt;/FQL&gt;&lt;FQL&gt;&lt;Q&gt;HCI^FF_SALES(,12/2016,,,,LOCAL)&lt;/Q&gt;&lt;R&gt;1&lt;/R&gt;&lt;C&gt;1&lt;/C&gt;&lt;D xsi:type="xsd:double"&gt;262.77&lt;/D&gt;&lt;/FQL&gt;&lt;FQL&gt;&lt;Q&gt;HCI^FF_SALES(,12/2017,,,,LOCAL)&lt;/Q&gt;&lt;R&gt;1&lt;/R&gt;&lt;C&gt;1&lt;/C&gt;&lt;D xsi:type="xsd:double"&gt;245.873&lt;/D&gt;&lt;/FQL&gt;&lt;FQL&gt;&lt;Q&gt;HCI^FF_SALES(,12/2018,,,,LOCAL)&lt;/Q&gt;&lt;R&gt;1&lt;/R&gt;&lt;C&gt;1&lt;/C&gt;&lt;D xsi:type="xsd:double"&gt;231.372&lt;/D&gt;&lt;/FQL&gt;&lt;FQL&gt;&lt;Q&gt;HCI^FF_SALES(,12/2019,,,,LOCAL)&lt;/Q&gt;&lt;R&gt;1&lt;/R&gt;&lt;C&gt;1&lt;/C&gt;&lt;D xsi:type="xsd:double"&gt;242.763&lt;/D&gt;&lt;/FQL&gt;&lt;FQL&gt;&lt;Q&gt;HCI^FF_SALES(,12/2020,,,,LOCAL)&lt;/Q&gt;&lt;R&gt;1&lt;/R&gt;&lt;C&gt;1&lt;/C&gt;&lt;D xsi:type="xsd:double"&gt;274.079&lt;/D&gt;&lt;/FQL&gt;&lt;FQL&gt;&lt;Q&gt;HCI^FF_SALES(,12/2021,,,,LOCAL)&lt;/Q&gt;&lt;R&gt;1&lt;/R&gt;&lt;C&gt;1&lt;/C&gt;&lt;D xsi:type="xsd:double"&gt;405.125&lt;/D&gt;&lt;/FQL&gt;&lt;FQL&gt;&lt;Q&gt;HCI^FF_SALES(,12/2022,,,,LOCAL)&lt;/Q&gt;&lt;R&gt;1&lt;/R&gt;&lt;C&gt;1&lt;/C&gt;&lt;D xsi:type="xsd:double"&gt;499.563&lt;/D&gt;&lt;/FQL&gt;&lt;FQL&gt;&lt;Q&gt;HCI^FF_COGS(,12/2012,,,,LOCAL)&lt;/Q&gt;&lt;R&gt;0&lt;/R&gt;&lt;C&gt;0&lt;/C&gt;&lt;/FQL&gt;&lt;FQL&gt;&lt;Q&gt;HCI^FF_COGS(,12/2013,,,,LOCAL)&lt;/Q&gt;&lt;R&gt;0&lt;/R&gt;&lt;C&gt;0&lt;/C&gt;&lt;/FQL&gt;&lt;FQL&gt;&lt;Q&gt;HCI^FF_COGS(,12/2014,,,,LOCAL)&lt;/Q&gt;&lt;R&gt;0&lt;/R&gt;&lt;C&gt;0&lt;/C&gt;&lt;/FQL&gt;&lt;FQL&gt;&lt;Q&gt;HCI^FF_COGS(,12/2015,,,,LOCAL)&lt;/Q&gt;&lt;R&gt;0&lt;/R&gt;&lt;C&gt;0&lt;/C&gt;&lt;/FQL&gt;&lt;FQL&gt;&lt;Q&gt;HCI^FF_COGS(,12/2016,,,,LOCAL)&lt;/Q&gt;&lt;R&gt;0&lt;/R&gt;&lt;C&gt;0&lt;/C&gt;&lt;/FQL&gt;&lt;FQL&gt;&lt;Q&gt;HCI^FF_COGS(,12/2017,,,,LOCAL)&lt;/Q&gt;&lt;R&gt;0&lt;/R&gt;&lt;C&gt;0&lt;/C&gt;&lt;/FQL&gt;&lt;FQL&gt;&lt;Q&gt;HCI^FF_COGS(,12/2018,,,,LOCAL)&lt;/Q&gt;&lt;R&gt;0&lt;/R&gt;&lt;C&gt;0&lt;/C&gt;&lt;/FQL&gt;&lt;FQL&gt;&lt;Q&gt;HCI^FF_COGS(,12/2019,,,,LOCAL)&lt;/Q&gt;&lt;R&gt;0&lt;/R&gt;&lt;C&gt;0&lt;/C&gt;&lt;/FQL&gt;&lt;FQL&gt;&lt;Q&gt;HCI^FF_COGS(,12/2020,,,,LOCAL)&lt;/Q&gt;&lt;R&gt;0&lt;/R&gt;&lt;C&gt;0&lt;/C&gt;&lt;/FQL&gt;&lt;FQL&gt;&lt;Q&gt;HCI^FF_COGS(,12/2021,,,,LOCAL)&lt;/Q&gt;&lt;R&gt;0&lt;/R&gt;&lt;C&gt;0&lt;/C&gt;&lt;/FQL&gt;&lt;FQL&gt;&lt;Q&gt;HCI^FF_COGS(,12/2022,,,,LOCAL)&lt;/Q&gt;&lt;R&gt;0&lt;/R&gt;&lt;C&gt;0&lt;/C&gt;&lt;/FQL&gt;&lt;FQL&gt;&lt;Q&gt;HCI^FF_GROSS_INC(,12/2012,,,,LOCAL)&lt;/Q&gt;&lt;R&gt;0&lt;/R&gt;&lt;C&gt;0&lt;/C&gt;&lt;/FQL&gt;&lt;FQL&gt;&lt;Q&gt;HCI^FF_GROSS_INC(,12/2013,,,,LOCAL)&lt;/Q&gt;&lt;R&gt;0&lt;/R&gt;&lt;C&gt;0&lt;/C&gt;&lt;/FQL&gt;&lt;FQL&gt;&lt;Q&gt;HCI^FF_GROSS_INC(,12/2014,,,,LOCAL)&lt;/Q&gt;&lt;R&gt;0&lt;/R&gt;&lt;C&gt;0&lt;/C&gt;&lt;/FQL&gt;&lt;FQL&gt;&lt;Q&gt;HCI^FF_GROSS_INC(,12/2015,,,,LOCAL)&lt;/Q&gt;&lt;R&gt;0&lt;/R&gt;&lt;C&gt;0&lt;/C&gt;&lt;/FQL&gt;&lt;FQL&gt;&lt;Q&gt;HCI^FF_GROSS_INC(,12/2016,,,,LOCAL)&lt;/Q&gt;&lt;R&gt;0&lt;/R&gt;&lt;C&gt;0&lt;/C&gt;&lt;/FQL&gt;&lt;FQL&gt;&lt;Q&gt;HCI^FF_GROSS_INC(,12/2017,,,,LOCAL)&lt;/Q&gt;&lt;R&gt;0&lt;/R&gt;&lt;C&gt;0&lt;/C&gt;&lt;/FQL&gt;&lt;FQL&gt;&lt;Q&gt;HCI^FF_GROSS_INC(,12/2018,,,,LOCAL)&lt;/Q&gt;&lt;R&gt;0&lt;/R&gt;&lt;C&gt;0&lt;/C&gt;&lt;/FQL&gt;&lt;FQL&gt;&lt;Q&gt;HCI^FF_GROSS_INC(,12/2019,,,,LOCAL)&lt;/Q&gt;&lt;R&gt;0&lt;/R&gt;&lt;C&gt;0&lt;/C&gt;&lt;/FQL&gt;&lt;FQL&gt;&lt;Q&gt;HCI^FF_GROSS_INC(,12/2020,,,,LOCAL)&lt;/Q&gt;&lt;R&gt;0&lt;/R&gt;&lt;C&gt;0&lt;/C&gt;&lt;/FQL&gt;&lt;FQL&gt;&lt;Q&gt;HCI^FF_GROSS_INC(,12/2021,,,,LOCAL)&lt;/Q&gt;&lt;R&gt;0&lt;/R&gt;&lt;C&gt;0&lt;/C&gt;&lt;/FQL&gt;&lt;FQL&gt;&lt;Q&gt;HCI^FF_GROSS_INC(,12/2022,,,,LOCAL)&lt;/Q&gt;&lt;R&gt;0&lt;/R&gt;&lt;C&gt;0&lt;/C&gt;&lt;/FQL&gt;&lt;FQL&gt;&lt;Q&gt;HCI^FF_EBIT_OPER(,12/2012,,,,LOCAL)&lt;/Q&gt;&lt;R&gt;0&lt;/R&gt;&lt;C&gt;0&lt;/C&gt;&lt;/FQL&gt;&lt;FQL&gt;&lt;Q&gt;HCI^FF_EBIT_OPER(,12/2013,,,,LOCAL)&lt;/Q&gt;&lt;R&gt;0&lt;/R&gt;&lt;C&gt;0&lt;/C&gt;&lt;/FQL&gt;&lt;FQL&gt;&lt;Q&gt;HCI^FF_EBIT_OPER(,12/2014,,,,LOCAL)&lt;/Q&gt;&lt;R&gt;0&lt;/R&gt;&lt;C&gt;0&lt;/C&gt;&lt;/FQL&gt;&lt;FQL&gt;&lt;Q&gt;HCI^FF_EBIT_OPER(,12/2015,,,,LOCAL)&lt;/Q&gt;&lt;R&gt;0&lt;/R&gt;&lt;C&gt;0&lt;/C&gt;&lt;/FQL&gt;&lt;FQL&gt;&lt;Q&gt;HCI^FF_EBIT_OPER(,12/2016,,,,LOCAL)&lt;/Q&gt;&lt;R&gt;0&lt;/R&gt;&lt;C&gt;0&lt;/C&gt;&lt;/FQL&gt;&lt;FQL&gt;&lt;Q&gt;HCI^FF_EBIT_OPER(,12/2017,,,,LOCAL)&lt;/Q&gt;&lt;R&gt;0&lt;/R&gt;&lt;C&gt;0&lt;/C&gt;&lt;/FQL&gt;&lt;FQL&gt;&lt;Q&gt;HCI^FF_EBIT_OPER(,12/2018,,,,LOCAL)&lt;/Q&gt;&lt;R&gt;0&lt;/R&gt;&lt;C&gt;0&lt;/C&gt;&lt;/FQL&gt;&lt;FQL&gt;&lt;Q&gt;HCI^FF_EBIT_OPER(,12/2019,,,,LOCAL)&lt;/Q&gt;&lt;R&gt;0&lt;/R&gt;&lt;C&gt;0&lt;/C&gt;&lt;/FQL&gt;&lt;FQL&gt;&lt;Q&gt;HCI^FF_EBIT_OPER(,12/2020,,,,LOCAL)&lt;/Q&gt;&lt;R&gt;0&lt;/R&gt;&lt;C&gt;0&lt;/C&gt;&lt;/FQL&gt;&lt;FQL&gt;&lt;Q&gt;HCI^FF_EBIT_OPER(,12/2021,,,,LOCAL)&lt;/Q&gt;&lt;R&gt;0&lt;/R&gt;&lt;C&gt;0&lt;/C&gt;&lt;/FQL&gt;&lt;FQL&gt;&lt;Q&gt;HCI^FF_EBIT_OPER(,12/2022,,,,LOCAL)&lt;/Q&gt;&lt;R&gt;0&lt;/R&gt;&lt;C&gt;0&lt;/C&gt;&lt;/FQL&gt;&lt;FQL&gt;&lt;Q&gt;HCI^FF_INT_EXP_NET(,12/2012,,,,LOCAL)&lt;/Q&gt;&lt;R&gt;1&lt;/R&gt;&lt;C&gt;1&lt;/C&gt;&lt;D xsi:type="xsd:double"&gt;0&lt;/D&gt;&lt;/FQL&gt;&lt;FQL&gt;&lt;Q&gt;HCI^FF_INT_EXP_NET(,12/2013,,,,LOCAL)&lt;/Q&gt;&lt;R&gt;1&lt;/R&gt;&lt;C&gt;1&lt;/C&gt;&lt;D xsi:type="xsd:double"&gt;3.607&lt;/D&gt;&lt;/FQL&gt;&lt;FQL&gt;&lt;Q&gt;HCI^FF_INT_EXP_NET(,12/2014,,,,LOCAL)&lt;/Q&gt;&lt;R&gt;1&lt;/R&gt;&lt;C&gt;1&lt;/C&gt;&lt;D xsi:type="xsd:double"&gt;10.453&lt;/D&gt;&lt;/FQL&gt;&lt;FQL&gt;&lt;Q&gt;HCI^FF_INT_EXP_NET(,12/2015,,,,LOCAL)&lt;/Q&gt;&lt;R&gt;1&lt;/R&gt;&lt;C&gt;1&lt;/C&gt;&lt;D xsi:type="xsd:double"&gt;10.754&lt;/D&gt;&lt;/FQL&gt;&lt;FQL&gt;&lt;Q&gt;HCI^FF_INT_EXP_NET(,12/2016,,,,LOCAL)&lt;/Q&gt;&lt;R&gt;1&lt;/R&gt;&lt;C&gt;1&lt;/C&gt;&lt;D xsi:type="xsd:double"&gt;11.079&lt;/D&gt;&lt;/FQL&gt;&lt;FQL&gt;&lt;Q&gt;HCI^FF_INT_EXP_NET(,12/2017,,,,LOCAL)&lt;/Q&gt;&lt;R&gt;1&lt;/R&gt;&lt;C&gt;1&lt;/C&gt;&lt;D xsi:type="xsd:double"&gt;16.767&lt;/D&gt;&lt;/FQL&gt;&lt;FQL&gt;&lt;Q&gt;HCI^FF_INT_EXP_NET(,12/2018,,,,LOCAL)&lt;/Q&gt;&lt;R&gt;1&lt;/R&gt;&lt;C&gt;1&lt;/C&gt;&lt;D xsi:type="xsd:double"&gt;18.096&lt;/D&gt;&lt;/FQL&gt;&lt;FQL&gt;&lt;Q&gt;HCI^FF_INT_EXP_NET(,12/2019,,,,LOCAL)&lt;/Q&gt;&lt;R&gt;1&lt;/R&gt;&lt;C&gt;1&lt;/C&gt;&lt;D xsi:type="xsd:double"&gt;13.055&lt;/D&gt;&lt;/FQL&gt;&lt;FQL&gt;&lt;Q&gt;HCI^FF_INT_EXP_NET(,12/2020,,,,LOCAL)&lt;/Q&gt;&lt;R&gt;1&lt;/R&gt;&lt;C&gt;1&lt;/C&gt;&lt;D xsi:type="xsd:double"&gt;11.734&lt;/D&gt;&lt;/FQL&gt;&lt;FQL&gt;&lt;Q&gt;HCI^FF_INT_EXP_NET(,12/2021,,,,LOCAL)&lt;/Q&gt;&lt;R&gt;1&lt;/R&gt;&lt;C&gt;1&lt;/C&gt;&lt;D xsi:type="xsd:double"&gt;6.4&lt;/D&gt;&lt;/FQL&gt;&lt;FQL&gt;&lt;Q&gt;HCI^FF_INT_EXP_NET(,12/2022,,,,LOCAL)&lt;/Q&gt;&lt;R&gt;1&lt;/R&gt;&lt;C&gt;1&lt;/C&gt;&lt;D xsi:type="xsd:double"&gt;7.768&lt;/D&gt;&lt;/FQL&gt;&lt;FQL&gt;&lt;Q&gt;HCI^FF_NON_OPER_INC(,12/2012,,,,LOCAL)&lt;/Q&gt;&lt;R&gt;1&lt;/R&gt;&lt;C&gt;1&lt;/C&gt;&lt;D xsi:type="xsd:double"&gt;0&lt;/D&gt;&lt;/FQL&gt;&lt;FQL&gt;&lt;Q&gt;HCI^FF_NON_OPER_INC(,12/2013,,,,LOCAL)&lt;/Q&gt;&lt;R&gt;1&lt;/R&gt;&lt;C&gt;1&lt;/C&gt;&lt;D xsi:type="xsd:double"&gt;0&lt;/D&gt;&lt;/FQL&gt;&lt;FQL&gt;&lt;Q&gt;HCI^FF_NON_OPER_INC(,12/2014,,,,LOCAL)&lt;/Q&gt;&lt;R&gt;1&lt;/R&gt;&lt;C&gt;1&lt;/C&gt;&lt;D xsi:type="xsd:double"&gt;0&lt;/D&gt;&lt;/FQL&gt;&lt;FQL&gt;&lt;Q&gt;HCI^FF_NON_OPER_INC(,12/2015,,,,LOCAL)&lt;/Q&gt;&lt;R&gt;1&lt;/R&gt;&lt;C&gt;1&lt;/C&gt;&lt;D xsi:type="xsd:double"&gt;0&lt;/D&gt;&lt;/FQL&gt;&lt;FQL&gt;&lt;Q&gt;HCI^FF_NON_OPER_INC(,12/2016,,,,LOCAL)&lt;/Q&gt;&lt;R&gt;1&lt;/R&gt;&lt;C&gt;1&lt;/C&gt;&lt;D xsi:type="xsd:double"&gt;0&lt;/D&gt;&lt;/FQL&gt;&lt;FQL&gt;&lt;Q&gt;HCI^FF_NON_OPER_INC(,12/2017,,,,LOCAL)&lt;/Q&gt;&lt;R&gt;1&lt;/R&gt;&lt;C&gt;1&lt;/C&gt;&lt;D xsi:type="xsd:double"&gt;0&lt;/D&gt;&lt;/FQL&gt;&lt;FQL&gt;&lt;Q&gt;HCI^FF_NON_OPER_INC(,12/2018,,,,LOCAL)&lt;/Q&gt;&lt;R&gt;1&lt;/R&gt;&lt;C&gt;1&lt;/C&gt;&lt;D xsi:type="xsd:double"&gt;0&lt;/D&gt;&lt;/FQL&gt;&lt;FQL&gt;&lt;Q&gt;HCI^FF_NON_OPER_INC(,12/2019,,,,LOCAL)&lt;/Q&gt;&lt;R&gt;1&lt;/R&gt;&lt;C&gt;1&lt;/C&gt;&lt;D xsi:type="xsd:double"&gt;0&lt;/D&gt;&lt;/FQL&gt;&lt;FQL&gt;&lt;Q&gt;HCI^FF_NON_OPER_INC(,12/2020,,,,LOCAL)&lt;/Q&gt;&lt;R&gt;1&lt;/R&gt;&lt;C&gt;1&lt;/C&gt;&lt;D xsi:type="xsd:double"&gt;0&lt;/D&gt;&lt;/FQL&gt;&lt;FQL&gt;&lt;Q&gt;HCI^FF_NON_OPER_INC(,12/2021,,,,LOCAL)&lt;/Q&gt;&lt;R&gt;1&lt;/R&gt;&lt;C&gt;1&lt;/C&gt;&lt;D xsi:type="xsd:double"&gt;0&lt;/D&gt;&lt;/FQL&gt;&lt;FQL&gt;&lt;Q&gt;HCI^FF_NON_OPER_INC(,12/2022,,,,LOCAL)&lt;/Q&gt;&lt;R&gt;1&lt;/R&gt;&lt;C&gt;1&lt;/C&gt;&lt;D xsi:type="xsd:double"&gt;0&lt;/D&gt;&lt;/FQL&gt;&lt;FQL&gt;&lt;Q&gt;HCI^FF_UNUSUAL_EXP(,12/2012,,,,LOCAL)&lt;/Q&gt;&lt;R&gt;1&lt;/R&gt;&lt;C&gt;1&lt;/C&gt;&lt;D xsi:type="xsd:double"&gt;0.161&lt;/D&gt;&lt;/FQL&gt;&lt;FQL&gt;&lt;Q&gt;HCI^FF_UNUSUAL_EXP(,12/2013,,,,LOCAL)&lt;/Q&gt;&lt;R&gt;1&lt;/R&gt;&lt;C&gt;1&lt;/C&gt;&lt;D xsi:type="xsd:double"&gt;0&lt;/D&gt;&lt;/FQL&gt;&lt;FQL&gt;&lt;Q&gt;HCI^FF_UNUSUAL_EXP(,12/2014,,,,LOCAL)&lt;/Q&gt;&lt;R&gt;1&lt;/R&gt;&lt;C&gt;1&lt;/C&gt;&lt;D xsi:type="xsd:double"&gt;0.107&lt;/D&gt;&lt;/FQL&gt;&lt;FQL&gt;&lt;Q&gt;HCI^FF_UNUSUAL_EXP(,12/2015,,,,LOCAL)&lt;/Q&gt;&lt;R&gt;1&lt;/R&gt;&lt;C&gt;1&lt;/C&gt;&lt;D xsi:type="xsd:double"&gt;4.681&lt;/D&gt;&lt;/FQL&gt;&lt;FQL&gt;&lt;Q&gt;HCI^FF_UNUSUAL_EXP(,12/2016,,,,LOCAL)&lt;/Q&gt;&lt;R&gt;1&lt;/R&gt;&lt;C&gt;1&lt;/C&gt;&lt;D xsi:type="xsd:double"&gt;-1.288&lt;/D&gt;&lt;/FQL&gt;&lt;FQL&gt;&lt;Q&gt;HCI^FF_UNUSUAL_EXP(,12/2017,,,,LOCAL)&lt;/Q&gt;&lt;R&gt;1&lt;/R&gt;&lt;C&gt;1&lt;/C&gt;&lt;D xsi:type="xsd:double"&gt;2.248&lt;/D&gt;&lt;/FQL&gt;&lt;FQL&gt;&lt;Q&gt;HCI^FF_UNUSUAL_EXP(,12/2018,,,,LOCAL)&lt;/Q&gt;&lt;R&gt;1&lt;/R&gt;&lt;C&gt;1&lt;/C&gt;&lt;D xsi:type="xsd:double"&gt;0.08&lt;/D&gt;&lt;/FQL&gt;&lt;FQL&gt;&lt;Q&gt;HCI^FF_UNUSUAL_EXP(,12/2019,,,,LOCAL)&lt;/Q&gt;&lt;R&gt;1&lt;/R&gt;&lt;C&gt;1&lt;/C&gt;&lt;D xsi:type="xsd:double"&gt;0.289&lt;/D&gt;&lt;/FQL&gt;&lt;FQL&gt;&lt;Q&gt;HCI^FF_UNUSUAL_EXP(,12/2020,,,,LOCAL)&lt;/Q&gt;&lt;R&gt;1&lt;/R&gt;&lt;C&gt;1&lt;/C&gt;&lt;D xsi:type="xsd:double"&gt;-36.11&lt;/D&gt;&lt;/FQL&gt;&lt;FQL&gt;&lt;Q&gt;HCI^FF_UNUSUAL_EXP(,12/2021,,,,LOCAL)&lt;/Q&gt;&lt;R&gt;1&lt;/R&gt;&lt;C&gt;1&lt;/C&gt;&lt;D xsi:type="xsd:double"&gt;-1.036&lt;/D&gt;&lt;/FQL&gt;&lt;FQL&gt;&lt;Q&gt;HCI^FF_UNUSUAL_EXP(,12/2022,,,,LOCAL)&lt;/Q&gt;&lt;R&gt;1&lt;/R&gt;&lt;C&gt;1&lt;/C&gt;&lt;D xsi:type="xsd:double"&gt;2.284&lt;/D&gt;&lt;/FQL&gt;&lt;FQL&gt;&lt;Q&gt;HCI^FF_PTX_INC(,12/2012,,,,LOCAL)&lt;/Q&gt;&lt;R&gt;1&lt;/R&gt;&lt;C&gt;1&lt;/C&gt;&lt;D xsi:type="xsd:double"&gt;49.58&lt;/D&gt;&lt;/FQL&gt;&lt;FQL&gt;&lt;Q&gt;HCI^FF_PTX_INC(,12/2013,,,,LOCAL)&lt;/Q&gt;&lt;R&gt;1&lt;/R&gt;&lt;C&gt;1&lt;/C&gt;&lt;D xsi:type="xsd:double"&gt;106.453&lt;/D&gt;&lt;/FQL&gt;&lt;FQL&gt;&lt;Q&gt;HCI^FF_PTX_INC(,12/2014,,,,LOCAL)&lt;/Q&gt;&lt;R&gt;1&lt;/R&gt;&lt;C&gt;1&lt;/C&gt;&lt;D xsi:type="xsd:double"&gt;100.962&lt;/D&gt;&lt;/FQL&gt;&lt;FQL&gt;&lt;Q&gt;HCI^FF_PTX_INC(,12/2015,,,,LOCAL)&lt;/Q&gt;&lt;R&gt;1&lt;/R&gt;&lt;C&gt;1&lt;/C&gt;&lt;D xsi:type="xsd:double"&gt;106.192&lt;/D&gt;&lt;/FQL&gt;&lt;FQL&gt;&lt;Q&gt;HCI^FF_PTX_INC(,12/2016,,,,LOCAL)&lt;/Q&gt;&lt;R&gt;1&lt;/R&gt;&lt;C&gt;1&lt;/C&gt;&lt;D xsi:type="xsd:double"&gt;46.856&lt;/D&gt;&lt;/FQL&gt;&lt;FQL&gt;&lt;Q&gt;HCI^FF_PTX_INC(,12/2017,,,,LOCAL)&lt;/Q&gt;&lt;R&gt;1&lt;/R&gt;&lt;C&gt;1&lt;/C&gt;&lt;D xsi:type="xsd:double"&gt;-15.624&lt;/D&gt;&lt;/FQL&gt;&lt;FQL&gt;&lt;Q&gt;HCI^FF_PTX_INC(,12/2018,,,,LOCAL)&lt;/Q&gt;&lt;R&gt;1&lt;/R&gt;&lt;C&gt;1&lt;/C&gt;&lt;D xsi:type="xsd:double"&gt;26.902&lt;/D&gt;&lt;/FQL&gt;&lt;FQL&gt;&lt;Q&gt;HCI^FF_PTX_INC(,12/2019,,,,LOCAL)&lt;/Q&gt;&lt;R&gt;1&lt;/R&gt;&lt;C&gt;1&lt;/C&gt;&lt;D xsi:type="xsd:double"&gt;36.093&lt;/D&gt;&lt;/FQL&gt;&lt;FQL&gt;&lt;Q&gt;HCI^FF_PTX_INC(,12/2020,,,,LOCAL)&lt;/Q&gt;&lt;R&gt;1&lt;/R&gt;&lt;C&gt;1&lt;/C&gt;&lt;D xsi:type="xsd:double"&gt;36.928&lt;/D&gt;&lt;/FQL&gt;&lt;FQL&gt;&lt;Q&gt;HCI^FF_PTX_INC(,12/2021,,,,LOCAL)&lt;/Q&gt;&lt;R&gt;1&lt;/R&gt;&lt;C&gt;1&lt;/C&gt;&lt;D xsi:type="xsd:double"&gt;11.233&lt;/D&gt;&lt;/FQL&gt;&lt;FQL&gt;&lt;Q&gt;HCI^FF_PTX_INC(,12/2022,,,,LOCAL)&lt;/Q&gt;&lt;R&gt;1&lt;/R&gt;&lt;C&gt;1&lt;/C&gt;&lt;D xsi:type="xsd:double"&gt;-68.418&lt;/D&gt;&lt;/FQL&gt;&lt;FQL&gt;&lt;Q&gt;HCI^FF_INC_TAX(,12/2012,,,,LOCAL)&lt;/Q&gt;&lt;R&gt;1&lt;/R&gt;&lt;C&gt;1&lt;/C&gt;&lt;D xsi:type="xsd:double"&gt;19.423&lt;/D&gt;&lt;/FQL&gt;&lt;FQL&gt;&lt;Q&gt;HCI^FF_INC_TAX(,12/2013,,,,LOCAL)&lt;/Q&gt;&lt;R&gt;1&lt;/R&gt;&lt;C&gt;1&lt;/C&gt;&lt;D xsi:type="xsd:double"&gt;40.891&lt;/D&gt;&lt;/FQL&gt;&lt;FQL&gt;&lt;Q&gt;HCI^FF_INC_TAX(,12/2014,,,,LOCAL)&lt;/Q&gt;&lt;R&gt;1&lt;/R&gt;&lt;C&gt;1&lt;/C&gt;&lt;D xsi:type="xsd:double"&gt;38.298&lt;/D&gt;&lt;/FQL&gt;&lt;FQL&gt;&lt;Q&gt;HCI^FF_INC_TAX(,12/2015,,,,LOCAL)&lt;/Q&gt;&lt;R&gt;1&lt;/R&gt;&lt;C&gt;1&lt;/C&gt;&lt;D xsi:type="xsd:double"&gt;40.331&lt;/D&gt;&lt;/FQL&gt;&lt;FQL&gt;&lt;Q&gt;HCI^FF_INC_TAX(,12/2016,,,,LOCAL)&lt;/Q&gt;&lt;R&gt;1&lt;/R&gt;&lt;C&gt;1&lt;/C&gt;&lt;D xsi:type="xsd:double"&gt;17.835&lt;/D&gt;&lt;/FQL&gt;&lt;FQL&gt;&lt;Q&gt;HCI^FF_INC_TAX(,12/2017,,,,LOCAL)&lt;/Q&gt;&lt;R&gt;1&lt;/R&gt;&lt;C&gt;1&lt;/C&gt;&lt;D xsi:type="xsd:double"&gt;-8.731&lt;/D&gt;&lt;/FQL&gt;&lt;FQL&gt;&lt;Q&gt;HCI^FF_INC_TAX(,12/2018,,,,LOCAL)&lt;/Q&gt;&lt;R&gt;1&lt;/R&gt;&lt;C&gt;1&lt;/C&gt;&lt;D xsi:type="xsd:double"&gt;9.177&lt;/D&gt;&lt;/FQL&gt;&lt;FQL&gt;&lt;Q&gt;HCI^FF_INC_TAX(,12/2019,,,,LOCAL)&lt;/Q&gt;&lt;R&gt;1&lt;/R&gt;&lt;C&gt;1&lt;/C&gt;&lt;D xsi:type="xsd:double"&gt;9.517&lt;/D&gt;&lt;/FQL&gt;&lt;FQL&gt;&lt;Q&gt;HCI^FF_INC_TAX(,12/2020,,,,LOCAL)&lt;/Q&gt;&lt;R&gt;1&lt;/R&gt;&lt;C&gt;1&lt;/C&gt;&lt;D xsi:type="xsd:double"&gt;9.348&lt;/D&gt;&lt;/FQL&gt;&lt;FQL&gt;&lt;Q&gt;HCI^FF_INC_TAX(,12/2021,,,,LOCAL)&lt;/Q&gt;&lt;R&gt;1&lt;/R&gt;&lt;C&gt;1&lt;/C&gt;&lt;D xsi:type="xsd:double"&gt;3.991&lt;/D&gt;&lt;/FQL&gt;&lt;FQL&gt;&lt;Q&gt;HCI^FF_INC_TAX(,12/2022,,,,LOCAL)&lt;/Q&gt;&lt;R&gt;1&lt;/R&gt;&lt;C&gt;1&lt;/C&gt;&lt;D xsi:type="xsd:double"&gt;-13.815&lt;/D&gt;&lt;/FQL&gt;&lt;FQL&gt;&lt;Q&gt;HCI^FF_NET_INC(,12/2012,,,,LOCAL)&lt;/Q&gt;&lt;R&gt;1&lt;/R&gt;&lt;C&gt;1&lt;/C&gt;&lt;D xsi:type="xsd:double"&gt;29.669&lt;/D&gt;&lt;/FQL&gt;&lt;FQL&gt;&lt;Q&gt;HCI^FF_NET_INC(,12/2013,,,,LOCAL)&lt;/Q&gt;&lt;R&gt;1&lt;/R&gt;&lt;C&gt;1&lt;/C&gt;&lt;D xsi:type="xsd:double"&gt;62.349&lt;/D&gt;&lt;/FQL&gt;&lt;FQL&gt;&lt;Q&gt;HCI^FF_NET_INC(,12/2014,,,,LOCAL)&lt;/Q&gt;&lt;R&gt;1&lt;/R&gt;&lt;C&gt;1&lt;/C&gt;&lt;D xsi:type="xsd:double"&gt;58.346&lt;/D&gt;&lt;/FQL&gt;&lt;FQL&gt;&lt;Q&gt;HCI^FF_NET_INC(,12/2015,,,,LOCAL)&lt;/Q&gt;&lt;R&gt;1&lt;/R&gt;&lt;C&gt;1&lt;/C&gt;&lt;D xsi:type="xsd:double"&gt;62.463&lt;/D&gt;&lt;/FQL&gt;&lt;FQL&gt;&lt;Q&gt;HCI^FF_NET_INC(,12/2016,,,,LOCAL)&lt;/Q&gt;&lt;R&gt;1&lt;/R&gt;&lt;C&gt;1&lt;/C&gt;&lt;D xsi:type="xsd:double"&gt;27.476&lt;/D&gt;&lt;/FQL&gt;&lt;FQL&gt;&lt;Q&gt;HCI^FF_NET_INC(,12/2017,,,,LOCAL)&lt;/Q&gt;&lt;R&gt;1&lt;/R&gt;&lt;C&gt;1&lt;/C&gt;&lt;D xsi:type="xsd:double"&gt;-6.412&lt;/D&gt;&lt;/FQL&gt;&lt;FQL&gt;&lt;Q&gt;HCI^FF_NET_INC(,12/2018,,,,LOCAL)&lt;/Q&gt;&lt;R&gt;1&lt;/R&gt;&lt;C&gt;1&lt;/C&gt;&lt;D xsi:type="xsd:double"&gt;18.442&lt;/D&gt;&lt;/FQL&gt;&lt;FQL&gt;&lt;Q&gt;HCI^FF_NET_INC(,12/2019,,,,LOCAL)&lt;/Q&gt;&lt;R&gt;1&lt;/R&gt;&lt;C&gt;1&lt;/C&gt;&lt;D xsi:type="xsd:double"&gt;25.128&lt;/D&gt;&lt;/FQL&gt;&lt;FQL&gt;&lt;Q&gt;HCI^FF_NET_INC(,12/2020,,,,LOCAL)&lt;/Q&gt;&lt;R&gt;1&lt;/R&gt;&lt;C&gt;1&lt;/C&gt;&lt;D xsi:type="xsd:double"&gt;26.118&lt;/D&gt;&lt;/FQL&gt;&lt;FQL&gt;&lt;Q&gt;HCI^FF_NET_INC(,12/2021,,,,LOCAL)&lt;/Q&gt;&lt;R&gt;1&lt;/R&gt;&lt;C&gt;1&lt;/C&gt;&lt;D xsi:type="xsd:double"&gt;1.832&lt;/D&gt;&lt;/FQL&gt;&lt;FQL&gt;&lt;Q&gt;HCI^FF_NET_INC(,12/2022,,,,LOCAL)&lt;/Q&gt;&lt;R&gt;1&lt;/R&gt;&lt;C&gt;1&lt;/C&gt;&lt;D xsi:type="xsd:double"&gt;-55.048&lt;/D&gt;&lt;/FQL&gt;&lt;FQL&gt;&lt;Q&gt;HCI^FF_COM_SHS_OUT_EPS_DIL(,12/2012,,,,LOCAL)&lt;/Q&gt;&lt;R&gt;1&lt;/R&gt;&lt;C&gt;1&lt;/C&gt;&lt;D xsi:type="xsd:double"&gt;9.813&lt;/D&gt;&lt;/FQL&gt;&lt;FQL&gt;&lt;Q&gt;HCI^FF_COM_SHS_OUT_EPS_DIL(,12/2013,,,,LOCAL)&lt;/Q&gt;&lt;R&gt;1&lt;/R&gt;&lt;C&gt;1&lt;/C&gt;&lt;D xsi:type="xsd:double"&gt;11.122&lt;/D&gt;&lt;/FQL&gt;&lt;FQL&gt;&lt;Q&gt;HCI^FF_COM_SHS_OUT_EPS_DIL(,12/2014,,,,LOCAL)&lt;/Q&gt;&lt;R&gt;1&lt;/R&gt;&lt;C&gt;1&lt;/C&gt;&lt;D xsi:type="xsd:double"&gt;11.694&lt;/D&gt;&lt;/FQL&gt;&lt;FQL&gt;&lt;Q&gt;HCI^FF_COM_SHS_OUT_EPS_DIL(,12/2015,,,,LOCAL)&lt;/Q&gt;&lt;R&gt;1&lt;/R&gt;&lt;C&gt;1&lt;/C&gt;&lt;D xsi:type="xsd:double"&gt;11.355&lt;/D&gt;&lt;/FQL&gt;&lt;FQL&gt;&lt;Q&gt;HCI^FF_COM_SHS_OUT_EPS_DIL(,12/2016,,,,LOCAL)&lt;/Q&gt;&lt;R&gt;1&lt;/R&gt;&lt;C&gt;1&lt;/C&gt;&lt;D xsi:type="xsd:double"&gt;10.873&lt;/D&gt;&lt;/FQL&gt;&lt;FQL&gt;&lt;Q&gt;HCI^FF_COM_SHS_OUT_EPS_DIL(,12/2017,,,,LOCAL)&lt;/Q&gt;&lt;R&gt;1&lt;/R&gt;&lt;C&gt;1&lt;/C&gt;&lt;D xsi:type="xsd:double"&gt;8.558&lt;/D&gt;&lt;/FQL&gt;&lt;FQL&gt;&lt;Q&gt;HCI^FF_COM_SHS_OUT_EPS_DIL(,12/2018,,,,LOCAL)&lt;/Q&gt;&lt;R&gt;1&lt;/R&gt;&lt;C&gt;1&lt;/C&gt;&lt;D xsi:type="xsd:double"&gt;7.895&lt;/D&gt;&lt;/FQL&gt;&lt;FQL&gt;&lt;Q&gt;HCI^FF_COM_SHS_OUT_EPS_DIL(,12/2019,,,,LOCAL)&lt;/Q&gt;&lt;R&gt;1&lt;/R&gt;&lt;C&gt;1&lt;/C&gt;&lt;D xsi:type="xsd:double"&gt;10.238&lt;/D&gt;&lt;/FQL&gt;&lt;FQL&gt;&lt;Q&gt;HCI^FF_COM_SHS_OUT_EPS_DIL(,12/2020,,,,LOCAL)&lt;/Q&gt;&lt;R&gt;1&lt;/R&gt;&lt;C&gt;1&lt;/C&gt;&lt;D xsi:type="xsd:double"&gt;9.694&lt;/D&gt;&lt;/FQL&gt;&lt;FQL&gt;&lt;Q&gt;HCI^FF_COM_SHS_OUT_EPS_DIL(,12/2021,,,,LOCAL)&lt;/Q&gt;&lt;R&gt;1&lt;/R&gt;&lt;C&gt;1&lt;/C&gt;&lt;D xsi:type="xsd:double"&gt;8.58&lt;/D&gt;&lt;/FQL&gt;&lt;FQL&gt;&lt;Q&gt;HCI^FF_COM_SHS_OUT_EPS_DIL(,12/2022,,,,LOCAL)&lt;/Q&gt;&lt;R&gt;1&lt;/R&gt;&lt;C&gt;1&lt;/C&gt;&lt;D xsi:type="xsd:double"&gt;8.817&lt;/D&gt;&lt;/FQL&gt;&lt;FQL&gt;&lt;Q&gt;HCI^FF_EPS_DIL(,12/2012,,,,LOCAL)&lt;/Q&gt;&lt;R&gt;1&lt;/R&gt;&lt;C&gt;1&lt;/C&gt;&lt;D xsi:type="xsd:double"&gt;3.02&lt;/D&gt;&lt;/FQL&gt;&lt;FQL&gt;&lt;Q&gt;HCI^FF_EPS_DIL(,12/2013,,,,LOCAL)&lt;/Q&gt;&lt;R&gt;1&lt;/R&gt;&lt;C&gt;1&lt;/C&gt;&lt;D xsi:type="xsd:double"&gt;5.63&lt;/D&gt;&lt;/FQL&gt;&lt;FQL&gt;&lt;Q&gt;HCI^FF_EPS_DIL(,12/2014,,,,LOCAL)&lt;/Q&gt;&lt;R&gt;1&lt;/R&gt;&lt;C&gt;1&lt;/C&gt;&lt;D xsi:type="xsd:double"&gt;5.3608&lt;/D&gt;&lt;/FQL&gt;&lt;FQL&gt;&lt;Q&gt;HCI^FF_EPS_DIL(,12/2015,,,,LOCAL)&lt;/Q&gt;&lt;R&gt;1&lt;/R&gt;&lt;C&gt;1&lt;/C&gt;&lt;D xsi:type="xsd:double"&gt;5.8977&lt;/D&gt;&lt;/FQL&gt;&lt;FQL&gt;&lt;Q&gt;HCI^FF_EPS_DIL(,12/2016,,,,LOCAL)&lt;/Q&gt;&lt;R&gt;1&lt;/R&gt;&lt;C&gt;1&lt;/C&gt;&lt;D xsi:type="xsd:double"&gt;2.9173&lt;/D&gt;&lt;/FQL&gt;&lt;FQL&gt;&lt;Q&gt;HCI^FF_EPS_DIL(,12/2017,,,,LOCAL)&lt;/Q&gt;&lt;R&gt;1&lt;/R&gt;&lt;C&gt;1&lt;/C&gt;&lt;D xsi:type="xsd:double"&gt;-0.7492&lt;/D&gt;&lt;/FQL&gt;&lt;FQL&gt;&lt;Q&gt;HCI^FF_EPS_DIL(,12/2018,,,,LOCAL)&lt;/Q&gt;&lt;R&gt;1&lt;/R&gt;&lt;C&gt;1&lt;/C&gt;&lt;D xsi:type="xsd:double"&gt;2.3359&lt;/D&gt;&lt;/FQL&gt;&lt;FQL&gt;&lt;Q&gt;HCI^FF_EPS_DIL(,12/2019,,,,LOCAL)&lt;/Q&gt;&lt;R&gt;1&lt;/R&gt;&lt;C&gt;1&lt;/C&gt;&lt;D xsi:type="xsd:double"&gt;3.3088&lt;/D&gt;&lt;/FQL&gt;&lt;FQL&gt;&lt;Q&gt;HCI^FF_EPS_DIL(,12/2020,,,,LOCAL)&lt;/Q&gt;&lt;R&gt;1&lt;/R&gt;&lt;C&gt;1&lt;/C&gt;&lt;D xsi:type="xsd:double"&gt;3.4891&lt;/D&gt;&lt;/FQL&gt;&lt;FQL&gt;&lt;Q&gt;HCI^FF_EPS_DIL(,12/2021,,,,LOCAL)&lt;/Q&gt;&lt;R&gt;1&lt;/R&gt;&lt;C&gt;1&lt;/C&gt;&lt;D xsi:type="xsd:double"&gt;0.2135&lt;/D&gt;&lt;/FQL&gt;&lt;FQL&gt;&lt;Q&gt;HCI^FF_EPS_DIL(,12/2022,,,,LOCAL)&lt;/Q&gt;&lt;R&gt;1&lt;/R&gt;&lt;C&gt;1&lt;/C&gt;&lt;D xsi:type="xsd:double"&gt;-6.2434&lt;/D&gt;&lt;/FQL&gt;&lt;FQL&gt;&lt;Q&gt;HCI^FF_CASH_ST(,12/2012,,,,LOCAL)&lt;/Q&gt;&lt;R&gt;0&lt;/R&gt;&lt;C&gt;0&lt;/C&gt;&lt;/FQL&gt;&lt;FQL&gt;&lt;Q&gt;HCI^FF_CASH_ST(,12/2013,,,,LOCAL)&lt;/Q&gt;&lt;R&gt;0&lt;/R&gt;&lt;C&gt;0&lt;/C&gt;&lt;/FQL&gt;&lt;FQL&gt;&lt;Q&gt;HCI^FF_CASH_ST(,12/2014,,,,LOCAL)&lt;/Q&gt;&lt;R&gt;0&lt;/R&gt;&lt;C&gt;0&lt;/C&gt;&lt;/FQL&gt;&lt;FQL&gt;&lt;Q&gt;HCI^FF_CASH_ST(,12/2015,,,,LOCAL)&lt;/Q&gt;&lt;R&gt;0&lt;/R&gt;&lt;C&gt;0&lt;/C&gt;&lt;/FQL&gt;&lt;FQL&gt;&lt;Q&gt;HCI^FF_CASH_ST(,12/2016,,,,LOCAL)&lt;/Q&gt;&lt;R&gt;0&lt;/R&gt;&lt;C&gt;0&lt;/C&gt;&lt;/FQL&gt;&lt;FQL&gt;&lt;Q&gt;HCI^FF_CASH_ST(,12/2017,,,,LOCAL)&lt;/Q&gt;&lt;R&gt;0&lt;/R&gt;&lt;C&gt;0&lt;/C&gt;&lt;/FQL&gt;&lt;FQL&gt;&lt;Q&gt;HCI^FF_CASH_ST(,12/2018,,,,LOCAL)&lt;/Q&gt;&lt;R&gt;0&lt;/R&gt;&lt;C&gt;0&lt;/C&gt;&lt;/FQL&gt;&lt;FQL&gt;&lt;Q&gt;HCI^FF_CASH_ST(,12/2019,,,,LOCAL)&lt;/Q&gt;&lt;R&gt;0&lt;/R&gt;&lt;C&gt;0&lt;/C&gt;&lt;/FQL&gt;&lt;FQL&gt;&lt;Q&gt;HCI^FF_CASH_ST(,12/2020,,,,LOCAL)&lt;/Q&gt;&lt;R&gt;0&lt;/R&gt;&lt;C&gt;0&lt;/C&gt;&lt;/FQL&gt;&lt;FQL&gt;&lt;Q&gt;HCI^FF_CASH_ST(,12/2021,,,,LOCAL)&lt;/Q&gt;&lt;R&gt;0&lt;/R&gt;&lt;C&gt;0&lt;/C&gt;&lt;/FQL&gt;&lt;FQL&gt;&lt;Q&gt;HCI^FF_CASH_ST(,12/2022,,,,LOCAL)&lt;/Q&gt;&lt;R&gt;0&lt;/R&gt;&lt;C&gt;0&lt;/C&gt;&lt;/FQL&gt;&lt;FQL&gt;&lt;Q&gt;HCI^FF_RECEIV_NET(,12/2012,,,,LOCAL)&lt;/Q&gt;&lt;R&gt;0&lt;/R&gt;&lt;C&gt;0&lt;/C&gt;&lt;/FQL&gt;&lt;FQL&gt;&lt;Q&gt;HCI^FF_RECEIV_NET(,12/2013,,,,LOCAL)&lt;/Q&gt;&lt;R&gt;0&lt;/R&gt;&lt;C&gt;0&lt;/C&gt;&lt;/FQL&gt;&lt;FQL&gt;&lt;Q&gt;HCI^FF_RECEIV_NET(,12/2014,,,,LOCAL)&lt;/Q&gt;&lt;R&gt;0&lt;/R&gt;&lt;C&gt;0&lt;/C&gt;&lt;/FQL&gt;&lt;FQL&gt;&lt;Q&gt;HCI^FF_RECEIV_NET(,12/2015,,,,LOCAL)&lt;/Q&gt;&lt;R&gt;0&lt;/R&gt;&lt;C&gt;0&lt;/C&gt;&lt;/FQL&gt;&lt;FQL&gt;&lt;Q&gt;HCI^FF_RECEIV_NET(,12/2016,,,,LOCAL)&lt;/Q&gt;&lt;R&gt;0&lt;/R&gt;&lt;C&gt;0&lt;/C&gt;&lt;/FQL&gt;&lt;FQL&gt;&lt;Q&gt;HCI^FF_RECEIV_NET(,12/2017,,,,LOCAL)&lt;/Q&gt;&lt;R&gt;0&lt;/R&gt;&lt;C&gt;0&lt;/C&gt;&lt;/FQL&gt;&lt;FQL&gt;&lt;Q&gt;HCI^FF_RECEIV_NET(,12/2018,,,,LOCAL)&lt;/Q&gt;&lt;R&gt;0&lt;/R&gt;&lt;C&gt;0&lt;/C&gt;&lt;/FQL&gt;&lt;FQL&gt;&lt;Q&gt;HCI^FF_RECEIV_NET(,12/2019,,,,LOCAL)&lt;/Q&gt;&lt;R&gt;0&lt;/R&gt;&lt;C&gt;0&lt;/C&gt;&lt;/FQL&gt;&lt;FQL&gt;&lt;Q&gt;HCI^FF_RECEIV_NET(,12/2020,,,,LOCAL)&lt;/Q&gt;&lt;R&gt;0&lt;/R&gt;&lt;C&gt;0&lt;/C&gt;&lt;/FQL&gt;&lt;FQL&gt;&lt;Q&gt;HCI^FF_RECEIV_NET(,12/2021,,,,LOCAL)&lt;/Q&gt;&lt;R&gt;0&lt;/R&gt;&lt;C&gt;0&lt;/C&gt;&lt;/FQL&gt;&lt;FQL&gt;&lt;Q&gt;HCI^FF_RECEIV_NET(,12/2022,,,,LOCAL)&lt;/Q&gt;&lt;R&gt;0&lt;/R&gt;&lt;C&gt;0&lt;/C&gt;&lt;/FQL&gt;&lt;FQL&gt;&lt;Q&gt;HCI^FF_INVEN(,12/2012,,,,LOCAL)&lt;/Q&gt;&lt;R&gt;0&lt;/R&gt;&lt;C&gt;0&lt;/C&gt;&lt;/FQL&gt;&lt;FQL&gt;&lt;Q&gt;HCI^FF_INVEN(,12/2013,,,,LOCAL)&lt;/Q&gt;&lt;R&gt;0&lt;/R&gt;&lt;C&gt;0&lt;/C&gt;&lt;/FQL&gt;&lt;FQL&gt;&lt;Q&gt;HCI^FF_INVEN(,12/2014,,,,LOCAL)&lt;/Q&gt;&lt;R&gt;0&lt;/R&gt;&lt;C&gt;0&lt;/C&gt;&lt;/FQL&gt;&lt;FQL&gt;&lt;Q&gt;HCI^FF_INVEN(,12/2015,,,,LOCAL)&lt;/Q&gt;&lt;R&gt;0&lt;/R&gt;&lt;C&gt;0&lt;/C&gt;&lt;/FQL&gt;&lt;FQL&gt;&lt;Q&gt;HCI^FF_INVEN(,12/2016,,,,LOCAL)&lt;/Q&gt;&lt;R&gt;0&lt;/R&gt;&lt;C&gt;0&lt;/C&gt;&lt;/FQL&gt;&lt;FQL&gt;&lt;Q&gt;HCI^FF_INVEN(,12/2017,,,,LOCAL)&lt;/Q&gt;&lt;R&gt;0&lt;/R&gt;&lt;C&gt;0&lt;/C&gt;&lt;/FQL&gt;&lt;FQL&gt;&lt;Q&gt;HCI^FF_INVEN(,12/2018,,,,LOCAL)&lt;/Q&gt;&lt;R&gt;0&lt;/R&gt;&lt;C&gt;0&lt;/C&gt;&lt;/FQL&gt;&lt;FQL&gt;&lt;Q&gt;HCI^FF_INVEN(,12/2019,,,,LOCAL)&lt;/Q&gt;&lt;R&gt;0&lt;/R&gt;&lt;C&gt;0&lt;/C&gt;&lt;/FQL&gt;&lt;FQL&gt;&lt;Q&gt;HCI^FF_INVEN(,12/2020,,,,LOCAL)&lt;/Q&gt;&lt;R&gt;0&lt;/R&gt;&lt;C&gt;0&lt;/C&gt;&lt;/FQL&gt;&lt;FQL&gt;&lt;Q&gt;HCI^FF_INVEN(,12/2021,,,,LOCAL)&lt;/Q&gt;&lt;R&gt;0&lt;/R&gt;&lt;C&gt;0&lt;/C&gt;&lt;/FQL&gt;&lt;FQL&gt;&lt;Q&gt;HCI^FF_INVEN(,12/2022,,,,LOCAL)&lt;/Q&gt;&lt;R&gt;0&lt;/R&gt;&lt;C&gt;0&lt;/C&gt;&lt;/FQL&gt;&lt;FQL&gt;&lt;Q&gt;HCI^FF_ASSETS_CURR(,12/2012,,,,LOCAL)&lt;/Q&gt;&lt;R&gt;1&lt;/R&gt;&lt;C&gt;1&lt;/C&gt;&lt;D xsi:type="xsd:double"&gt;242.495&lt;/D&gt;&lt;/FQL&gt;&lt;FQL&gt;&lt;Q&gt;HCI^FF_ASSETS_CURR(,12/2013,,,,LOCAL)&lt;/Q&gt;&lt;R&gt;1&lt;/R&gt;&lt;C&gt;1&lt;/C&gt;&lt;D xsi:type="xsd:double"&gt;320.401&lt;/D&gt;&lt;/FQL&gt;&lt;FQL&gt;&lt;Q&gt;HCI^FF_ASSETS_CURR(,12/2014,,,,LOCAL)&lt;/Q&gt;&lt;R&gt;1&lt;/R&gt;&lt;C&gt;1&lt;/C&gt;&lt;D xsi:type="xsd:double"&gt;363.067&lt;/D&gt;&lt;/FQL&gt;&lt;FQL&gt;&lt;Q&gt;HCI^FF_ASSETS_CURR(,12/2015,,,,LOCAL)&lt;/Q&gt;&lt;R&gt;1&lt;/R&gt;&lt;C&gt;1&lt;/C&gt;&lt;D xsi:type="xsd:double"&gt;329.925&lt;/D&gt;&lt;/FQL&gt;&lt;FQL&gt;&lt;Q&gt;HCI^FF_ASSETS_CURR(,12/2016,,,,LOCAL)&lt;/Q&gt;&lt;R&gt;1&lt;/R&gt;&lt;C&gt;1&lt;/C&gt;&lt;D xsi:type="xsd:double"&gt;311.344&lt;/D&gt;&lt;/FQL&gt;&lt;FQL&gt;&lt;Q&gt;HCI^FF_ASSETS_CURR(,12/2017,,,,LOCAL)&lt;/Q&gt;&lt;R&gt;1&lt;/R&gt;&lt;C&gt;1&lt;/C&gt;&lt;D xsi:type="xsd:double"&gt;330.432&lt;/D&gt;&lt;/FQL&gt;&lt;FQL&gt;&lt;Q&gt;HCI^FF_ASSETS_CURR(,12/2018,,,,LOCAL)&lt;/Q&gt;&lt;R&gt;1&lt;/R&gt;&lt;C&gt;1&lt;/C&gt;&lt;D xsi:type="xsd:doub</t>
        </r>
      </text>
    </comment>
    <comment ref="A3" authorId="0" shapeId="0" xr:uid="{354B3821-DAF3-49C7-ACCE-51D2A8A758E0}">
      <text>
        <r>
          <rPr>
            <b/>
            <sz val="9"/>
            <color indexed="81"/>
            <rFont val="Tahoma"/>
            <family val="2"/>
          </rPr>
          <t>le"&gt;379.777&lt;/D&gt;&lt;/FQL&gt;&lt;FQL&gt;&lt;Q&gt;HCI^FF_ASSETS_CURR(,12/2019,,,,LOCAL)&lt;/Q&gt;&lt;R&gt;1&lt;/R&gt;&lt;C&gt;1&lt;/C&gt;&lt;D xsi:type="xsd:double"&gt;326.229&lt;/D&gt;&lt;/FQL&gt;&lt;FQL&gt;&lt;Q&gt;HCI^FF_ASSETS_CURR(,12/2020,,,,LOCAL)&lt;/Q&gt;&lt;R&gt;1&lt;/R&gt;&lt;C&gt;1&lt;/C&gt;&lt;D xsi:type="xsd:double"&gt;539.443&lt;/D&gt;&lt;/FQL&gt;&lt;FQL&gt;&lt;Q&gt;HCI^FF_ASSETS_CURR(,12/2021,,,,LOCAL)&lt;/Q&gt;&lt;R&gt;1&lt;/R&gt;&lt;C&gt;1&lt;/C&gt;&lt;D xsi:type="xsd:double"&gt;717.827&lt;/D&gt;&lt;/FQL&gt;&lt;FQL&gt;&lt;Q&gt;HCI^FF_ASSETS_CURR(,12/2022,,,,LOCAL)&lt;/Q&gt;&lt;R&gt;1&lt;/R&gt;&lt;C&gt;1&lt;/C&gt;&lt;D xsi:type="xsd:double"&gt;559.19&lt;/D&gt;&lt;/FQL&gt;&lt;FQL&gt;&lt;Q&gt;HCI^FF_PPE_NET(,12/2012,,,,LOCAL)&lt;/Q&gt;&lt;R&gt;1&lt;/R&gt;&lt;C&gt;1&lt;/C&gt;&lt;D xsi:type="xsd:double"&gt;10.853&lt;/D&gt;&lt;/FQL&gt;&lt;FQL&gt;&lt;Q&gt;HCI^FF_PPE_NET(,12/2013,,,,LOCAL)&lt;/Q&gt;&lt;R&gt;1&lt;/R&gt;&lt;C&gt;1&lt;/C&gt;&lt;D xsi:type="xsd:double"&gt;13.132&lt;/D&gt;&lt;/FQL&gt;&lt;FQL&gt;&lt;Q&gt;HCI^FF_PPE_NET(,12/2014,,,,LOCAL)&lt;/Q&gt;&lt;R&gt;1&lt;/R&gt;&lt;C&gt;1&lt;/C&gt;&lt;D xsi:type="xsd:double"&gt;12.292&lt;/D&gt;&lt;/FQL&gt;&lt;FQL&gt;&lt;Q&gt;HCI^FF_PPE_NET(,12/2015,,,,LOCAL)&lt;/Q&gt;&lt;R&gt;1&lt;/R&gt;&lt;C&gt;1&lt;/C&gt;&lt;D xsi:type="xsd:double"&gt;11.786&lt;/D&gt;&lt;/FQL&gt;&lt;FQL&gt;&lt;Q&gt;HCI^FF_PPE_NET(,12/2016,,,,LOCAL)&lt;/Q&gt;&lt;R&gt;1&lt;/R&gt;&lt;C&gt;1&lt;/C&gt;&lt;D xsi:type="xsd:double"&gt;11.374&lt;/D&gt;&lt;/FQL&gt;&lt;FQL&gt;&lt;Q&gt;HCI^FF_PPE_NET(,12/2017,,,,LOCAL)&lt;/Q&gt;&lt;R&gt;1&lt;/R&gt;&lt;C&gt;1&lt;/C&gt;&lt;D xsi:type="xsd:double"&gt;12.465&lt;/D&gt;&lt;/FQL&gt;&lt;FQL&gt;&lt;Q&gt;HCI^FF_PPE_NET(,12/2018,,,,LOCAL)&lt;/Q&gt;&lt;R&gt;1&lt;/R&gt;&lt;C&gt;1&lt;/C&gt;&lt;D xsi:type="xsd:double"&gt;13.338&lt;/D&gt;&lt;/FQL&gt;&lt;FQL&gt;&lt;Q&gt;HCI^FF_PPE_NET(,12/2019,,,,LOCAL)&lt;/Q&gt;&lt;R&gt;1&lt;/R&gt;&lt;C&gt;1&lt;/C&gt;&lt;D xsi:type="xsd:double"&gt;15.182&lt;/D&gt;&lt;/FQL&gt;&lt;FQL&gt;&lt;Q&gt;HCI^FF_PPE_NET(,12/2020,,,,LOCAL)&lt;/Q&gt;&lt;R&gt;1&lt;/R&gt;&lt;C&gt;1&lt;/C&gt;&lt;D xsi:type="xsd:double"&gt;16.769&lt;/D&gt;&lt;/FQL&gt;&lt;FQL&gt;&lt;Q&gt;HCI^FF_PPE_NET(,12/2021,,,,LOCAL)&lt;/Q&gt;&lt;R&gt;1&lt;/R&gt;&lt;C&gt;1&lt;/C&gt;&lt;D xsi:type="xsd:double"&gt;16.436&lt;/D&gt;&lt;/FQL&gt;&lt;FQL&gt;&lt;Q&gt;HCI^FF_PPE_NET(,12/2022,,,,LOCAL)&lt;/Q&gt;&lt;R&gt;1&lt;/R&gt;&lt;C&gt;1&lt;/C&gt;&lt;D xsi:type="xsd:double"&gt;18.687&lt;/D&gt;&lt;/FQL&gt;&lt;FQL&gt;&lt;Q&gt;HCI^FF_INTANG(,12/2012,,,,LOCAL)&lt;/Q&gt;&lt;R&gt;1&lt;/R&gt;&lt;C&gt;1&lt;/C&gt;&lt;D xsi:type="xsd:double"&gt;0&lt;/D&gt;&lt;/FQL&gt;&lt;FQL&gt;&lt;Q&gt;HCI^FF_INTANG(,12/2013,,,,LOCAL)&lt;/Q&gt;&lt;R&gt;1&lt;/R&gt;&lt;C&gt;1&lt;/C&gt;&lt;D xsi:type="xsd:double"&gt;0&lt;/D&gt;&lt;/FQL&gt;&lt;FQL&gt;&lt;Q&gt;HCI^FF_INTANG(,12/2014,,,,LOCAL)&lt;/Q&gt;&lt;R&gt;1&lt;/R&gt;&lt;C&gt;1&lt;/C&gt;&lt;D xsi:type="xsd:double"&gt;0&lt;/D&gt;&lt;/FQL&gt;&lt;FQL&gt;&lt;Q&gt;HCI^FF_INTANG(,12/2015,,,,LOCAL)&lt;/Q&gt;&lt;R&gt;1&lt;/R&gt;&lt;C&gt;1&lt;/C&gt;&lt;D xsi:type="xsd:double"&gt;0&lt;/D&gt;&lt;/FQL&gt;&lt;FQL&gt;&lt;Q&gt;HCI^FF_INTANG(,12/2016,,,,LOCAL)&lt;/Q&gt;&lt;R&gt;1&lt;/R&gt;&lt;C&gt;1&lt;/C&gt;&lt;D xsi:type="xsd:double"&gt;4.899&lt;/D&gt;&lt;/FQL&gt;&lt;FQL&gt;&lt;Q&gt;HCI^FF_INTANG(,12/2017,,,,LOCAL)&lt;/Q&gt;&lt;R&gt;1&lt;/R&gt;&lt;C&gt;1&lt;/C&gt;&lt;D xsi:type="xsd:double"&gt;4.995&lt;/D&gt;&lt;/FQL&gt;&lt;FQL&gt;&lt;Q&gt;HCI^FF_INTANG(,12/2018,,,,LOCAL)&lt;/Q&gt;&lt;R&gt;1&lt;/R&gt;&lt;C&gt;1&lt;/C&gt;&lt;D xsi:type="xsd:double"&gt;4.8&lt;/D&gt;&lt;/FQL&gt;&lt;FQL&gt;&lt;Q&gt;HCI^FF_INTANG(,12/2019,,,,LOCAL)&lt;/Q&gt;&lt;R&gt;1&lt;/R&gt;&lt;C&gt;1&lt;/C&gt;&lt;D xsi:type="xsd:double"&gt;4.192&lt;/D&gt;&lt;/FQL&gt;&lt;FQL&gt;&lt;Q&gt;HCI^FF_INTANG(,12/2020,,,,LOCAL)&lt;/Q&gt;&lt;R&gt;1&lt;/R&gt;&lt;C&gt;1&lt;/C&gt;&lt;D xsi:type="xsd:double"&gt;3.568&lt;/D&gt;&lt;/FQL&gt;&lt;FQL&gt;&lt;Q&gt;HCI^FF_INTANG(,12/2021,,,,LOCAL)&lt;/Q&gt;&lt;R&gt;1&lt;/R&gt;&lt;C&gt;1&lt;/C&gt;&lt;D xsi:type="xsd:double"&gt;10.636&lt;/D&gt;&lt;/FQL&gt;&lt;FQL&gt;&lt;Q&gt;HCI^FF_INTANG(,12/2022,,,,LOCAL)&lt;/Q&gt;&lt;R&gt;1&lt;/R&gt;&lt;C&gt;1&lt;/C&gt;&lt;D xsi:type="xsd:double"&gt;10.578&lt;/D&gt;&lt;/FQL&gt;&lt;FQL&gt;&lt;Q&gt;HCI^FF_ASSETS(,12/2012,,,,LOCAL)&lt;/Q&gt;&lt;R&gt;1&lt;/R&gt;&lt;C&gt;1&lt;/C&gt;&lt;D xsi:type="xsd:double"&gt;336.205&lt;/D&gt;&lt;/FQL&gt;&lt;FQL&gt;&lt;Q&gt;HCI^FF_ASSETS(,12/2013,,,,LOCAL)&lt;/Q&gt;&lt;R&gt;1&lt;/R&gt;&lt;C&gt;1&lt;/C&gt;&lt;D xsi:type="xsd:double"&gt;510.305&lt;/D&gt;&lt;/FQL&gt;&lt;FQL&gt;&lt;Q&gt;HCI^FF_ASSETS(,12/2014,,,,LOCAL)&lt;/Q&gt;&lt;R&gt;1&lt;/R&gt;&lt;C&gt;1&lt;/C&gt;&lt;D xsi:type="xsd:double"&gt;578.317&lt;/D&gt;&lt;/FQL&gt;&lt;FQL&gt;&lt;Q&gt;HCI^FF_ASSETS(,12/2015,,,,LOCAL)&lt;/Q&gt;&lt;R&gt;1&lt;/R&gt;&lt;C&gt;1&lt;/C&gt;&lt;D xsi:type="xsd:double"&gt;609.785&lt;/D&gt;&lt;/FQL&gt;&lt;FQL&gt;&lt;Q&gt;HCI^FF_ASSETS(,12/2016,,,,LOCAL)&lt;/Q&gt;&lt;R&gt;1&lt;/R&gt;&lt;C&gt;1&lt;/C&gt;&lt;D xsi:type="xsd:double"&gt;660.799&lt;/D&gt;&lt;/FQL&gt;&lt;FQL&gt;&lt;Q&gt;HCI^FF_ASSETS(,12/2017,,,,LOCAL)&lt;/Q&gt;&lt;R&gt;1&lt;/R&gt;&lt;C&gt;1&lt;/C&gt;&lt;D xsi:type="xsd:double"&gt;729.561&lt;/D&gt;&lt;/FQL&gt;&lt;FQL&gt;&lt;Q&gt;HCI^FF_ASSETS(,12/2018,,,,LOCAL)&lt;/Q&gt;&lt;R&gt;1&lt;/R&gt;&lt;C&gt;1&lt;/C&gt;&lt;D xsi:type="xsd:double"&gt;702.27&lt;/D&gt;&lt;/FQL&gt;&lt;FQL&gt;&lt;Q&gt;HCI^FF_ASSETS(,12/2019,,,,LOCAL)&lt;/Q&gt;&lt;R&gt;1&lt;/R&gt;&lt;C&gt;1&lt;/C&gt;&lt;D xsi:type="xsd:double"&gt;662.291&lt;/D&gt;&lt;/FQL&gt;&lt;FQL&gt;&lt;Q&gt;HCI^FF_ASSETS(,12/2020,,,,LOCAL)&lt;/Q&gt;&lt;R&gt;1&lt;/R&gt;&lt;C&gt;1&lt;/C&gt;&lt;D xsi:type="xsd:double"&gt;834.193&lt;/D&gt;&lt;/FQL&gt;&lt;FQL&gt;&lt;Q&gt;HCI^FF_ASSETS(,12/2021,,,,LOCAL)&lt;/Q&gt;&lt;R&gt;1&lt;/R&gt;&lt;C&gt;1&lt;/C&gt;&lt;D xsi:type="xsd:double"&gt;1093.76&lt;/D&gt;&lt;/FQL&gt;&lt;FQL&gt;&lt;Q&gt;HCI^FF_ASSETS(,12/2022,,,,LOCAL)&lt;/Q&gt;&lt;R&gt;1&lt;/R&gt;&lt;C&gt;1&lt;/C&gt;&lt;D xsi:type="xsd:double"&gt;1078.665&lt;/D&gt;&lt;/FQL&gt;&lt;FQL&gt;&lt;Q&gt;HCI^FF_PAY_ACCT(,12/2012,,,,LOCAL)&lt;/Q&gt;&lt;R&gt;1&lt;/R&gt;&lt;C&gt;1&lt;/C&gt;&lt;D xsi:type="xsd:double"&gt;1.377&lt;/D&gt;&lt;/FQL&gt;&lt;FQL&gt;&lt;Q&gt;HCI^FF_PAY_ACCT(,12/2013,,,,LOCAL)&lt;/Q&gt;&lt;R&gt;1&lt;/R&gt;&lt;C&gt;1&lt;/C&gt;&lt;D xsi:type="xsd:double"&gt;4.66&lt;/D&gt;&lt;/FQL&gt;&lt;FQL&gt;&lt;Q&gt;HCI^FF_PAY_ACCT(,12/2014,,,,LOCAL)&lt;/Q&gt;&lt;R&gt;1&lt;/R&gt;&lt;C&gt;1&lt;/C&gt;&lt;D xsi:type="xsd:double"&gt;0.218&lt;/D&gt;&lt;/FQL&gt;&lt;FQL&gt;&lt;Q&gt;HCI^FF_PAY_ACCT(,12/2015,,,,LOCAL)&lt;/Q&gt;&lt;R&gt;1&lt;/R&gt;&lt;C&gt;1&lt;/C&gt;&lt;D xsi:type="xsd:double"&gt;1.084&lt;/D&gt;&lt;/FQL&gt;&lt;FQL&gt;&lt;Q&gt;HCI^FF_PAY_ACCT(,12/2016,,,,LOCAL)&lt;/Q&gt;&lt;R&gt;1&lt;/R&gt;&lt;C&gt;1&lt;/C&gt;&lt;D xsi:type="xsd:double"&gt;3.294&lt;/D&gt;&lt;/FQL&gt;&lt;FQL&gt;&lt;Q&gt;HCI^FF_PAY_ACCT(,12/2017,,,,LOCAL)&lt;/Q&gt;&lt;R&gt;1&lt;/R&gt;&lt;C&gt;1&lt;/C&gt;&lt;D xsi:type="xsd:double"&gt;0.015&lt;/D&gt;&lt;/FQL&gt;&lt;FQL&gt;&lt;Q&gt;HCI^FF_PAY_ACCT(,12/2018,,,,LOCAL)&lt;/Q&gt;&lt;R&gt;1&lt;/R&gt;&lt;C&gt;1&lt;/C&gt;&lt;D xsi:type="xsd:double"&gt;0.014&lt;/D&gt;&lt;/FQL&gt;&lt;FQL&gt;&lt;Q&gt;HCI^FF_PAY_ACCT(,12/2019,,,,LOCAL)&lt;/Q&gt;&lt;R&gt;1&lt;/R&gt;&lt;C&gt;1&lt;/C&gt;&lt;D xsi:type="xsd:double"&gt;0.076&lt;/D&gt;&lt;/FQL&gt;&lt;FQL&gt;&lt;Q&gt;HCI^FF_PAY_ACCT(,12/2020,,,,LOCAL)&lt;/Q&gt;&lt;R&gt;1&lt;/R&gt;&lt;C&gt;1&lt;/C&gt;&lt;D xsi:type="xsd:double"&gt;0.087&lt;/D&gt;&lt;/FQL&gt;&lt;FQL&gt;&lt;Q&gt;HCI^FF_PAY_ACCT(,12/2021,,,,LOCAL)&lt;/Q&gt;&lt;R&gt;1&lt;/R&gt;&lt;C&gt;1&lt;/C&gt;&lt;D xsi:type="xsd:double"&gt;23.335&lt;/D&gt;&lt;/FQL&gt;&lt;FQL&gt;&lt;Q&gt;HCI^FF_PAY_ACCT(,12/2022,,,,LOCAL)&lt;/Q&gt;&lt;R&gt;1&lt;/R&gt;&lt;C&gt;1&lt;/C&gt;&lt;D xsi:type="xsd:double"&gt;26.252&lt;/D&gt;&lt;/FQL&gt;&lt;FQL&gt;&lt;Q&gt;HCI^FF_LIABS_CURR(,12/2012,,,,LOCAL)&lt;/Q&gt;&lt;R&gt;1&lt;/R&gt;&lt;C&gt;1&lt;/C&gt;&lt;D xsi:type="xsd:double"&gt;54.441&lt;/D&gt;&lt;/FQL&gt;&lt;FQL&gt;&lt;Q&gt;HCI^FF_LIABS_CURR(,12/2013,,,,LOCAL)&lt;/Q&gt;&lt;R&gt;1&lt;/R&gt;&lt;C&gt;1&lt;/C&gt;&lt;D xsi:type="xsd:double"&gt;52.94&lt;/D&gt;&lt;/FQL&gt;&lt;FQL&gt;&lt;Q&gt;HCI^FF_LIABS_CURR(,12/2014,,,,LOCAL)&lt;/Q&gt;&lt;R&gt;1&lt;/R&gt;&lt;C&gt;1&lt;/C&gt;&lt;D xsi:type="xsd:double"&gt;53.952&lt;/D&gt;&lt;/FQL&gt;&lt;FQL&gt;&lt;Q&gt;HCI^FF_LIABS_CURR(,12/2015,,,,LOCAL)&lt;/Q&gt;&lt;R&gt;1&lt;/R&gt;&lt;C&gt;1&lt;/C&gt;&lt;D xsi:type="xsd:double"&gt;59.09&lt;/D&gt;&lt;/FQL&gt;&lt;FQL&gt;&lt;Q&gt;HCI^FF_LIABS_CURR(,12/2016,,,,LOCAL)&lt;/Q&gt;&lt;R&gt;1&lt;/R&gt;&lt;C&gt;1&lt;/C&gt;&lt;D xsi:type="xsd:double"&gt;81.082&lt;/D&gt;&lt;/FQL&gt;&lt;FQL&gt;&lt;Q&gt;HCI^FF_LIABS_CURR(,12/2017,,,,LOCAL)&lt;/Q&gt;&lt;R&gt;1&lt;/R&gt;&lt;C&gt;1&lt;/C&gt;&lt;D xsi:type="xsd:double"&gt;116.458&lt;/D&gt;&lt;/FQL&gt;&lt;FQL&gt;&lt;Q&gt;HCI^FF_LIABS_CURR(,12/2018,,,,LOCAL)&lt;/Q&gt;&lt;R&gt;1&lt;/R&gt;&lt;C&gt;1&lt;/C&gt;&lt;D xsi:type="xsd:double"&gt;181.488&lt;/D&gt;&lt;/FQL&gt;&lt;FQL&gt;&lt;Q&gt;HCI^FF_LIABS_CURR(,12/2019,,,,LOCAL)&lt;/Q&gt;&lt;R&gt;1&lt;/R&gt;&lt;C&gt;1&lt;/C&gt;&lt;D xsi:type="xsd:double"&gt;102.494&lt;/D&gt;&lt;/FQL&gt;&lt;FQL&gt;&lt;Q&gt;HCI^FF_LIABS_CURR(,12/2020,,,,LOCAL)&lt;/Q&gt;&lt;R&gt;1&lt;/R&gt;&lt;C&gt;1&lt;/C&gt;&lt;D xsi:type="xsd:double"&gt;139.985&lt;/D&gt;&lt;/FQL&gt;&lt;FQL&gt;&lt;Q&gt;HCI^FF_LIABS_CURR(,12/2021,,,,LOCAL)&lt;/Q&gt;&lt;R&gt;1&lt;/R&gt;&lt;C&gt;1&lt;/C&gt;&lt;D xsi:type="xsd:double"&gt;201.753&lt;/D&gt;&lt;/FQL&gt;&lt;FQL&gt;&lt;Q&gt;HCI^FF_LIABS_CURR(,12/2022,,,,LOCAL)&lt;/Q&gt;&lt;R&gt;1&lt;/R&gt;&lt;C&gt;1&lt;/C&gt;&lt;D xsi:type="xsd:double"&gt;237.219&lt;/D&gt;&lt;/FQL&gt;&lt;FQL&gt;&lt;Q&gt;HCI^FF_DEBT_ST(,12/2012,,,,LOCAL)&lt;/Q&gt;&lt;R&gt;1&lt;/R&gt;&lt;C&gt;1&lt;/C&gt;&lt;D xsi:type="xsd:double"&gt;0&lt;/D&gt;&lt;/FQL&gt;&lt;FQL&gt;&lt;Q&gt;HCI^FF_DEBT_ST(,12/2013,,,,LOCAL)&lt;/Q&gt;&lt;R&gt;1&lt;/R&gt;&lt;C&gt;1&lt;/C&gt;&lt;D xsi:type="xsd:double"&gt;0&lt;/D&gt;&lt;/FQL&gt;&lt;FQL&gt;&lt;Q&gt;HCI^FF_DEBT_ST(,12/2014,,,,LOCAL)&lt;/Q&gt;&lt;R&gt;1&lt;/R&gt;&lt;C&gt;1&lt;/C&gt;&lt;D xsi:type="xsd:double"&gt;0&lt;/D&gt;&lt;/FQL&gt;&lt;FQL&gt;&lt;Q&gt;HCI^FF_DEBT_ST(,12/2015,,,,LOCAL)&lt;/Q&gt;&lt;R&gt;1&lt;/R&gt;&lt;C&gt;1&lt;/C&gt;&lt;D xsi:type="xsd:double"&gt;0&lt;/D&gt;&lt;/FQL&gt;&lt;FQL&gt;&lt;Q&gt;HCI^FF_DEBT_ST(,12/2016,,,,LOCAL)&lt;/Q&gt;&lt;R&gt;1&lt;/R&gt;&lt;C&gt;1&lt;/C&gt;&lt;D xsi:type="xsd:double"&gt;0.783&lt;/D&gt;&lt;/FQL&gt;&lt;FQL&gt;&lt;Q&gt;HCI^FF_DEBT_ST(,12/2017,,,,LOCAL)&lt;/Q&gt;&lt;R&gt;1&lt;/R&gt;&lt;C&gt;1&lt;/C&gt;&lt;D xsi:type="xsd:double"&gt;1.049&lt;/D&gt;&lt;/FQL&gt;&lt;FQL&gt;&lt;Q&gt;HCI^FF_DEBT_ST(,12/2018,,,,LOCAL)&lt;/Q&gt;&lt;R&gt;1&lt;/R&gt;&lt;C&gt;1&lt;/C&gt;&lt;D xsi:type="xsd:double"&gt;91.316&lt;/D&gt;&lt;/FQL&gt;&lt;FQL&gt;&lt;Q&gt;HCI^FF_DEBT_ST(,12/2019,,,,LOCAL)&lt;/Q&gt;&lt;R&gt;1&lt;/R&gt;&lt;C&gt;1&lt;/C&gt;&lt;D xsi:type="xsd:double"&gt;10.34&lt;/D&gt;&lt;/FQL&gt;&lt;FQL&gt;&lt;Q&gt;HCI^FF_DEBT_ST(,12/2020,,,,LOCAL)&lt;/Q&gt;&lt;R&gt;1&lt;/R&gt;&lt;C&gt;1&lt;/C&gt;&lt;D xsi:type="xsd:double"&gt;2.694&lt;/D&gt;&lt;/FQL&gt;&lt;FQL&gt;&lt;Q&gt;HCI^FF_DEBT_ST(,12/2021,,,,LOCAL)&lt;/Q&gt;&lt;R&gt;1&lt;/R&gt;&lt;C&gt;1&lt;/C&gt;&lt;D xsi:type="xsd:double"&gt;2.45&lt;/D&gt;&lt;/FQL&gt;&lt;FQL&gt;&lt;Q&gt;HCI^FF_DEBT_ST(,12/2022,,,,LOCAL)&lt;/Q&gt;&lt;R&gt;1&lt;/R&gt;&lt;C&gt;1&lt;/C&gt;&lt;D xsi:type="xsd:double"&gt;1.164&lt;/D&gt;&lt;/FQL&gt;&lt;FQL&gt;&lt;Q&gt;HCI^FF_DEBT_LT(,12/2012,,,,LOCAL)&lt;/Q&gt;&lt;R&gt;1&lt;/R&gt;&lt;C&gt;1&lt;/C&gt;&lt;D xsi:type="xsd:double"&gt;0&lt;/D&gt;&lt;/FQL&gt;&lt;FQL&gt;&lt;Q&gt;HCI^FF_DEBT_LT(,12/2013,,,,LOCAL)&lt;/Q&gt;&lt;R&gt;1&lt;/R&gt;&lt;C&gt;1&lt;/C&gt;&lt;D xsi:type="xsd:double"&gt;126.932&lt;/D&gt;&lt;/FQL&gt;&lt;FQL&gt;&lt;Q&gt;HCI^FF_DEBT_LT(,12/2014,,,,LOCAL)&lt;/Q&gt;&lt;R&gt;1&lt;/R&gt;&lt;C&gt;1&lt;/C&gt;&lt;D xsi:type="xsd:double"&gt;125.886&lt;/D&gt;&lt;/FQL&gt;&lt;FQL&gt;&lt;Q&gt;HCI^FF_DEBT_LT(,12/2015,,,,LOCAL)&lt;/Q&gt;&lt;R&gt;1&lt;/R&gt;&lt;C&gt;1&lt;/C&gt;&lt;D xsi:type="xsd:double"&gt;129.429&lt;/D&gt;&lt;/FQL&gt;&lt;FQL&gt;&lt;Q&gt;HCI^FF_DEBT_LT(,12/2016,,,,LOCAL)&lt;/Q&gt;&lt;R&gt;1&lt;/R&gt;&lt;C&gt;1&lt;/C&gt;&lt;D xsi:type="xsd:double"&gt;138.08&lt;/D&gt;&lt;/FQL&gt;&lt;FQL&gt;&lt;Q&gt;HCI^FF_DEBT_LT(,12/2017,,,,LOCAL)&lt;/Q&gt;&lt;R&gt;1&lt;/R&gt;&lt;C&gt;1&lt;/C&gt;&lt;D xsi:type="xsd:double"&gt;236.786&lt;/D&gt;&lt;/FQL&gt;&lt;FQL&gt;&lt;Q&gt;HCI^FF_DEBT_LT(,12/2018,,,,LOCAL)&lt;/Q&gt;&lt;R&gt;1&lt;/R&gt;&lt;C&gt;1&lt;/C&gt;&lt;D xsi:type="xsd:double"&gt;158.834&lt;/D&gt;&lt;/FQL&gt;&lt;FQL&gt;&lt;Q&gt;HCI^FF_DEBT_LT(,12/2019,,,,LOCAL)&lt;/Q&gt;&lt;R&gt;1&lt;/R&gt;&lt;C&gt;1&lt;/C&gt;&lt;D xsi:type="xsd:double"&gt;163.105&lt;/D&gt;&lt;/FQL&gt;&lt;FQL&gt;&lt;Q&gt;HCI^FF_DEBT_LT(,12/2020,,,,LOCAL)&lt;/Q&gt;&lt;R&gt;1&lt;/R&gt;&lt;C&gt;1&lt;/C&gt;&lt;D xsi:type="xsd:double"&gt;181.581&lt;/D&gt;&lt;/FQL&gt;&lt;FQL&gt;&lt;Q&gt;HCI^FF_DEBT_LT(,12/2021,,,,LOCAL)&lt;/Q&gt;&lt;R&gt;1&lt;/R&gt;&lt;C&gt;1&lt;/C&gt;&lt;D xsi:type="xsd:double"&gt;60.257&lt;/D&gt;&lt;/FQL&gt;&lt;FQL&gt;&lt;Q&gt;HCI^FF_DEBT_LT(,12/2022,,,,LOCAL)&lt;/Q&gt;&lt;R&gt;1&lt;/R&gt;&lt;C&gt;1&lt;/C&gt;&lt;D xsi:type="xsd:double"&gt;211.244&lt;/D&gt;&lt;/FQL&gt;&lt;FQL&gt;&lt;Q&gt;HCI^FF_DEBT(,12/2012,,,,LOCAL)&lt;/Q&gt;&lt;R&gt;1&lt;/R&gt;&lt;C&gt;1&lt;/C&gt;&lt;D xsi:type="xsd:double"&gt;0&lt;/D&gt;&lt;/FQL&gt;&lt;FQL&gt;&lt;Q&gt;HCI^FF_DEBT(,12/2013,,,,LOCAL)&lt;/Q&gt;&lt;R&gt;1&lt;/R&gt;&lt;C&gt;1&lt;/C&gt;&lt;D xsi:type="xsd:double"&gt;126.932&lt;/D&gt;&lt;/FQL&gt;&lt;FQL&gt;&lt;Q&gt;HCI^FF_DEBT(,12/2014,,,,LOCAL)&lt;/Q&gt;&lt;R&gt;1&lt;/R&gt;&lt;C&gt;1&lt;/C&gt;&lt;D xsi:type="xsd:double"&gt;125.886&lt;/D&gt;&lt;/FQL&gt;&lt;FQL&gt;&lt;Q&gt;HCI^FF_DEBT(,12/2015,,,,LOCAL)&lt;/Q&gt;&lt;R&gt;1&lt;/R&gt;&lt;C&gt;1&lt;/C&gt;&lt;D xsi:type="xsd:double"&gt;129.429&lt;/D&gt;&lt;/FQL&gt;&lt;FQL&gt;&lt;Q&gt;HCI^FF_DEBT(,12/2016,,,,LOCAL)&lt;/Q&gt;&lt;R&gt;1&lt;/R&gt;&lt;C&gt;1&lt;/C&gt;&lt;D xsi:type="xsd:double"&gt;138.863&lt;/D&gt;&lt;/FQL&gt;&lt;FQL&gt;&lt;Q&gt;HCI^FF_DEBT(,12/2017,,,,LOCAL)&lt;/Q&gt;&lt;R&gt;1&lt;/R&gt;&lt;C&gt;1&lt;/C&gt;&lt;D xsi:type="xsd:double"&gt;237.835&lt;/D&gt;&lt;/FQL&gt;&lt;FQL&gt;&lt;Q&gt;HCI^FF_DEBT(,12/2018,,,,LOCAL)&lt;/Q&gt;&lt;R&gt;1&lt;/R&gt;&lt;C&gt;1&lt;/C&gt;&lt;D xsi:type="xsd:double"&gt;250.15&lt;/D&gt;&lt;/FQL&gt;&lt;FQL&gt;&lt;Q&gt;HCI^FF_DEBT(,12/2019,,,,LOCAL)&lt;/Q&gt;&lt;R&gt;1&lt;/R&gt;&lt;C&gt;1&lt;/C&gt;&lt;D xsi:type="xsd:double"&gt;173.445&lt;/D&gt;&lt;/FQL&gt;&lt;FQL&gt;&lt;Q&gt;HCI^FF_DEBT(,12/2020,,,,LOCAL)&lt;/Q&gt;&lt;R&gt;1&lt;/R&gt;&lt;C&gt;1&lt;/C&gt;&lt;D xsi:type="xsd:double"&gt;184.275&lt;/D&gt;&lt;/FQL&gt;&lt;FQL&gt;&lt;Q&gt;HCI^FF_DEBT(,12/2021,,,,LOCAL)&lt;/Q&gt;&lt;R&gt;1&lt;/R&gt;&lt;C&gt;1&lt;/C&gt;&lt;D xsi:type="xsd:double"&gt;62.707&lt;/D&gt;&lt;/FQL&gt;&lt;FQL&gt;&lt;Q&gt;HCI^FF_DEBT(,12/2022,,,,LOCAL)&lt;/Q&gt;&lt;R&gt;1&lt;/R&gt;&lt;C&gt;1&lt;/C&gt;&lt;D xsi:type="xsd:double"&gt;212.408&lt;/D&gt;&lt;/FQL&gt;&lt;FQL&gt;&lt;Q&gt;HCI^FF_LIABS(,12/2012,,,,LOCAL)&lt;/Q&gt;&lt;R&gt;1&lt;/R&gt;&lt;C&gt;1&lt;/C&gt;&lt;D xsi:type="xsd:double"&gt;214.952&lt;/D&gt;&lt;/FQL&gt;&lt;FQL&gt;&lt;Q&gt;HCI^FF_LIABS(,12/2013,,,,LOCAL)&lt;/Q&gt;&lt;R&gt;1&lt;/R&gt;&lt;C&gt;1&lt;/C&gt;&lt;D xsi:type="xsd:double"&gt;349.784&lt;/D&gt;&lt;/FQL&gt;&lt;FQL&gt;&lt;Q&gt;HCI^FF_LIABS(,12/2014,,,,LOCAL)&lt;/Q&gt;&lt;R&gt;1&lt;/R&gt;&lt;C&gt;1&lt;/C&gt;&lt;D xsi:type="xsd:double"&gt;395.732&lt;/D&gt;&lt;/FQL&gt;&lt;FQL&gt;&lt;Q&gt;HCI^FF_LIABS(,12/2015,,,,LOCAL)&lt;/Q&gt;&lt;R&gt;1&lt;/R&gt;&lt;C&gt;1&lt;/C&gt;&lt;D xsi:type="xsd:double"&gt;372.063&lt;/D&gt;&lt;/FQL&gt;&lt;FQL&gt;&lt;Q&gt;HCI^FF_LIABS(,12/2016,,,,LOCAL)&lt;/Q&gt;&lt;R&gt;1&lt;/R&gt;&lt;C&gt;1&lt;/C&gt;&lt;D xsi:type="xsd:double"&gt;417.053&lt;/D&gt;&lt;/FQL&gt;&lt;FQL&gt;&lt;Q&gt;HCI^FF_LIABS(,12/2017,,,,LOCAL)&lt;/Q&gt;&lt;R&gt;1&lt;/R&gt;&lt;C&gt;1&lt;/C&gt;&lt;D xsi:type="xsd:double"&gt;535.586&lt;/D&gt;&lt;/FQL&gt;&lt;FQL&gt;&lt;Q&gt;HCI^FF_LIABS(,12/2018,,,,LOCAL)&lt;/Q&gt;&lt;R&gt;1&lt;/R&gt;&lt;C&gt;1&lt;/C&gt;&lt;D xsi:type="xsd:double"&gt;520.829&lt;/D&gt;&lt;/FQL&gt;&lt;FQL&gt;&lt;Q&gt;HCI^FF_LIABS(,12/2019,,,,LOCAL)&lt;/Q&gt;&lt;R&gt;1&lt;/R&gt;&lt;C&gt;1&lt;/C&gt;&lt;D xsi:type="xsd:double"&gt;476.748&lt;/D&gt;&lt;/FQL&gt;&lt;FQL&gt;&lt;Q&gt;HCI^FF_LIABS(,12/2020,,,,LOCAL)&lt;/Q&gt;&lt;R&gt;1&lt;/R&gt;&lt;C&gt;1&lt;/C&gt;&lt;D xsi:type="xsd:double"&gt;633.057&lt;/D&gt;&lt;/FQL&gt;&lt;FQL&gt;&lt;Q&gt;HCI^FF_LIABS(,12/2021,,,,LOCAL)&lt;/Q&gt;&lt;R&gt;1&lt;/R&gt;&lt;C&gt;1&lt;/C&gt;&lt;D xsi:type="xsd:double"&gt;679.302&lt;/D&gt;&lt;/FQL&gt;&lt;FQL&gt;&lt;Q&gt;HCI^FF_LIABS(,12/2022,,,,LOCAL)&lt;/Q&gt;&lt;R&gt;1&lt;/R&gt;&lt;C&gt;1&lt;/C&gt;&lt;D xsi:type="xsd:double"&gt;823.858&lt;/D&gt;&lt;/FQL&gt;&lt;FQL&gt;&lt;Q&gt;HCI^FF_PFD_STK(,12/2012,,,,LOCAL)&lt;/Q&gt;&lt;R&gt;1&lt;/R&gt;&lt;C&gt;1&lt;/C&gt;&lt;D xsi:type="xsd:double"&gt;0&lt;/D&gt;&lt;/FQL&gt;&lt;FQL&gt;&lt;Q&gt;HCI^FF_PFD_STK(,12/2013,,,,LOCAL)&lt;/Q&gt;&lt;R&gt;1&lt;/R&gt;&lt;C&gt;1&lt;/C&gt;&lt;D xsi:type="xsd:double"&gt;0&lt;/D&gt;&lt;/FQL&gt;&lt;FQL&gt;&lt;Q&gt;HCI^FF_PFD_STK(,12/2014,,,,LOCAL)&lt;/Q&gt;&lt;R&gt;1&lt;/R&gt;&lt;C&gt;1&lt;/C&gt;&lt;D xsi:type="xsd:double"&gt;0&lt;/D&gt;&lt;/FQL&gt;&lt;FQL&gt;&lt;Q&gt;HCI^FF_PFD_STK(,12/2015,,,,LOCAL)&lt;/Q&gt;&lt;R&gt;1&lt;/R&gt;&lt;C&gt;1&lt;/C&gt;&lt;D xsi:type="xsd:double"&gt;0&lt;/D&gt;&lt;/FQL&gt;&lt;FQL&gt;&lt;Q&gt;HCI^FF_PFD_STK(,12/2016,,,,LOCAL)&lt;/Q&gt;&lt;R&gt;1&lt;/R&gt;&lt;C&gt;1&lt;/C&gt;&lt;D xsi:type="xsd:double"&gt;0&lt;/D&gt;&lt;/FQL&gt;&lt;FQL&gt;&lt;Q&gt;HCI^FF_PFD_STK(,12/2017,,,,LOCAL)&lt;/Q&gt;&lt;R&gt;1&lt;/R&gt;&lt;C&gt;1&lt;/C&gt;&lt;D xsi:type="xsd:double"&gt;0&lt;/D&gt;&lt;/FQL&gt;&lt;FQL&gt;&lt;Q&gt;HCI^FF_PFD_STK(,12/2018,,,,LOCAL)&lt;/Q&gt;&lt;R&gt;1&lt;/R&gt;&lt;C&gt;1&lt;/C&gt;&lt;D xsi:type="xsd:double"&gt;0&lt;/D&gt;&lt;/FQL&gt;&lt;FQL&gt;&lt;Q&gt;HCI^FF_PFD_STK(,12/2019,,,,LOCAL)&lt;/Q&gt;&lt;R&gt;1&lt;/R&gt;&lt;C&gt;1&lt;/C&gt;&lt;D xsi:type="xsd:double"&gt;0&lt;/D&gt;&lt;/FQL&gt;&lt;FQL&gt;&lt;Q&gt;HCI^FF_PFD_STK(,12/2020,,,,LOCAL)&lt;/Q&gt;&lt;R&gt;1&lt;/R&gt;&lt;C&gt;1&lt;/C&gt;&lt;D xsi:type="xsd:double"&gt;0&lt;/D&gt;&lt;/FQL&gt;&lt;FQL&gt;&lt;Q&gt;HCI^FF_PFD_STK(,12/2021,,,,LOCAL)&lt;/Q&gt;&lt;R&gt;1&lt;/R&gt;&lt;C&gt;1&lt;/C&gt;&lt;D xsi:type="xsd:double"&gt;0&lt;/D&gt;&lt;/FQL&gt;&lt;FQL&gt;&lt;Q&gt;HCI^FF_PFD_STK(,12/2022,,,,LOCAL)&lt;/Q&gt;&lt;R&gt;1&lt;/R&gt;&lt;C&gt;1&lt;/C&gt;&lt;D xsi:type="xsd:double"&gt;0&lt;/D&gt;&lt;/FQL&gt;&lt;FQL&gt;&lt;Q&gt;HCI^FF_SHLDRS_EQ(,12/2012,,,,LOCAL)&lt;/Q&gt;&lt;R&gt;1&lt;/R&gt;&lt;C&gt;1&lt;/C&gt;&lt;D xsi:type="xsd:double"&gt;121.253&lt;/D&gt;&lt;/FQL&gt;&lt;FQL&gt;&lt;Q&gt;HCI^FF_SHLDRS_EQ(,12/2013,,,,LOCAL)&lt;/Q&gt;&lt;R&gt;1&lt;/R&gt;&lt;C&gt;1&lt;/C&gt;&lt;D xsi:type="xsd:double"&gt;160.521&lt;/D&gt;&lt;/FQL&gt;&lt;FQL&gt;&lt;Q&gt;HCI^FF_SHLDRS_EQ(,12/2014,,,,LOCAL)&lt;/Q&gt;&lt;R&gt;1&lt;/R&gt;&lt;C&gt;1&lt;/C&gt;&lt;D xsi:type="xsd:double"&gt;182.585&lt;/D&gt;&lt;/FQL&gt;&lt;FQL&gt;&lt;Q&gt;HCI^FF_SHLDRS_EQ(,12/2015,,,,LOCAL)&lt;/Q&gt;&lt;R&gt;1&lt;/R&gt;&lt;C&gt;1&lt;/C&gt;&lt;D xsi:type="xsd:double"&gt;237.722&lt;/D&gt;&lt;/FQL&gt;&lt;FQL&gt;&lt;Q&gt;HCI^FF_SHLDRS_EQ(,12/2016,,,,LOCAL)&lt;/Q&gt;&lt;R&gt;1&lt;/R&gt;&lt;C&gt;1&lt;/C&gt;&lt;D xsi:type="xsd:double"&gt;243.746&lt;/D&gt;&lt;/FQL&gt;&lt;FQL&gt;&lt;Q&gt;HCI^FF_SHLDRS_EQ(,12/2017,,,,LOCAL)&lt;/Q&gt;&lt;R&gt;1&lt;/R&gt;&lt;C&gt;1&lt;/C&gt;&lt;D xsi:type="xsd:double"&gt;193.975&lt;/D&gt;&lt;/FQL&gt;&lt;FQL&gt;&lt;Q&gt;HCI^FF_SHLDRS_EQ(,12/2018,,,,LOCAL)&lt;/Q&gt;&lt;R&gt;1&lt;/R&gt;&lt;C&gt;1&lt;/C&gt;&lt;D xsi:type="xsd:double"&gt;181.441&lt;/D&gt;&lt;/FQL&gt;&lt;FQL&gt;&lt;Q&gt;HCI^FF_SHLDRS_EQ(,12/2019,,,,LOCAL)&lt;/Q&gt;&lt;R&gt;1&lt;/R&gt;&lt;C&gt;1&lt;/C&gt;&lt;D xsi:type="xsd:double"&gt;185.543&lt;/D&gt;&lt;/FQL&gt;&lt;FQL&gt;&lt;Q&gt;HCI^FF_SHLDRS_EQ(,12/2020,,,,LOCAL)&lt;/Q&gt;&lt;R&gt;1&lt;/R&gt;&lt;C&gt;1&lt;/C&gt;&lt;D xsi:type="xsd:double"&gt;201.136&lt;/D&gt;&lt;/FQL&gt;&lt;FQL&gt;&lt;Q&gt;HCI^FF_SHLDRS_EQ(,12/2021,,,,LOCAL)&lt;/Q&gt;&lt;R&gt;1&lt;/R&gt;&lt;C&gt;1&lt;/C&gt;&lt;D xsi:type="xsd:double"&gt;323.365&lt;/D&gt;&lt;/FQL&gt;&lt;FQL&gt;&lt;Q&gt;HCI^FF_SHLDRS_EQ(,12/2022,,,,LOCAL)&lt;/Q&gt;&lt;R&gt;1&lt;/R&gt;&lt;C&gt;1&lt;/C&gt;&lt;D xsi:type="xsd:double"&gt;162.596&lt;/D&gt;&lt;/FQL&gt;&lt;FQL&gt;&lt;Q&gt;HCI^FF_LIABS_SHLDRS_EQ(,12/2012,,,,LOCAL)&lt;/Q&gt;&lt;R&gt;1&lt;/R&gt;&lt;C&gt;1&lt;/C&gt;&lt;D xsi:type="xsd:double"&gt;336.205&lt;/D&gt;&lt;/FQL&gt;&lt;FQL&gt;&lt;Q&gt;HCI^FF_LIABS_SHLDRS_EQ(,12/2013,,,,LOCAL)&lt;/Q&gt;&lt;R&gt;1&lt;/R&gt;&lt;C&gt;1&lt;/C&gt;&lt;D xsi:type="xsd:double"&gt;510.305&lt;/D&gt;&lt;/FQL&gt;&lt;FQL&gt;&lt;Q&gt;HCI^FF_LIABS_SHLDRS_EQ(,12/2014,,,,LOCAL)&lt;/Q&gt;&lt;R&gt;1&lt;/R&gt;&lt;C&gt;1&lt;/C&gt;&lt;D xsi:type="xsd:double"&gt;578.317&lt;/D&gt;&lt;/FQL&gt;&lt;FQL&gt;&lt;Q&gt;HCI^FF_LIABS_SHLDRS_EQ(,12/2015,,,,LOCAL)&lt;/Q&gt;&lt;R&gt;1&lt;/R&gt;&lt;C&gt;1&lt;/C&gt;&lt;D xsi:type="xsd:double"&gt;609.785&lt;/D&gt;&lt;/FQL&gt;&lt;FQL&gt;&lt;Q&gt;HCI^FF_LIABS_SHLDRS_EQ(,12/2016,,,,LOCAL)&lt;/Q&gt;&lt;R&gt;1&lt;/R&gt;&lt;C&gt;1&lt;/C&gt;&lt;D xsi:type="xsd:double"&gt;660.799&lt;/D&gt;&lt;/FQL&gt;&lt;FQL&gt;&lt;Q&gt;HCI^FF_LIABS_SHLDRS_EQ(,12/2017,,,,LOCAL)&lt;/Q&gt;&lt;R&gt;1&lt;/R&gt;&lt;C&gt;1&lt;/C&gt;&lt;D xsi:type="xsd:double"&gt;729.561&lt;/D&gt;&lt;/FQL&gt;&lt;FQL&gt;&lt;Q&gt;HCI^FF_LIABS_SHLDRS_EQ(,12/2018,,,,LOCAL)&lt;/Q&gt;&lt;R&gt;1&lt;/R&gt;&lt;C&gt;1&lt;/C&gt;&lt;D xsi:type="xsd:double"&gt;702.27&lt;/D&gt;&lt;/FQL&gt;&lt;FQL&gt;&lt;Q&gt;HCI^FF_LIABS_SHLDRS_EQ(,12/2019,,,,LOCAL)&lt;/Q&gt;&lt;R&gt;1&lt;/R&gt;&lt;C&gt;1&lt;/C&gt;&lt;D xsi:type="xsd:double"&gt;662.291&lt;/D&gt;&lt;/FQL&gt;&lt;FQL&gt;&lt;Q&gt;HCI^FF_LIABS_SHLDRS_EQ(,12/2020,,,,LOCAL)&lt;/Q&gt;&lt;R&gt;1&lt;/R&gt;&lt;C&gt;1&lt;/C&gt;&lt;D xsi:type="xsd:double"&gt;834.193&lt;/D&gt;&lt;/FQL&gt;&lt;FQL&gt;&lt;Q&gt;HCI^FF_LIABS_SHLDRS_EQ(,12/2021,,,,LOCAL)&lt;/Q&gt;&lt;R&gt;1&lt;/R&gt;&lt;C&gt;1&lt;/C&gt;&lt;D xsi:type="xsd:double"&gt;1093.76&lt;/D&gt;&lt;/FQL&gt;&lt;FQL&gt;&lt;Q&gt;HCI^FF_LIABS_SHLDRS_EQ(,12/2022,,,,LOCAL)&lt;/Q&gt;&lt;R&gt;1&lt;/R&gt;&lt;C&gt;1&lt;/C&gt;&lt;D xsi:type="xsd:double"&gt;1078.665&lt;/D&gt;&lt;/FQL&gt;&lt;FQL&gt;&lt;Q&gt;HCI^FF_NET_INC_CF(,12/2012,,,,LOCAL)&lt;/Q&gt;&lt;R&gt;0&lt;/R&gt;&lt;C&gt;0&lt;/C&gt;&lt;/FQL&gt;&lt;FQL&gt;&lt;Q&gt;HCI^FF_NET_INC_CF(,12/2013,,,,LOCAL)&lt;/Q&gt;&lt;R&gt;0&lt;/R&gt;&lt;C&gt;0&lt;/C&gt;&lt;/FQL&gt;&lt;FQL&gt;&lt;Q&gt;HCI^FF_NET_INC_CF(,12/2014,,,,LOCAL)&lt;/Q&gt;&lt;R&gt;0&lt;/R&gt;&lt;C&gt;0&lt;/C&gt;&lt;/FQL&gt;&lt;FQL&gt;&lt;Q&gt;HCI^FF_NET_INC_CF(,12/2015,,,,LOCAL)&lt;/Q&gt;&lt;R&gt;0&lt;/R&gt;&lt;C&gt;0&lt;/C&gt;&lt;/FQL&gt;&lt;FQL&gt;&lt;Q&gt;HCI^FF_NET_INC_CF(,12/2016,,,,LOCAL)&lt;/Q&gt;&lt;R&gt;0&lt;/R&gt;&lt;C&gt;0&lt;/C&gt;&lt;/FQL&gt;&lt;FQL&gt;&lt;Q&gt;HCI^FF_NET_INC_CF(,12/2017,,,,LOCAL)&lt;/Q&gt;&lt;R&gt;0&lt;/R&gt;&lt;C&gt;0&lt;/C&gt;&lt;/FQL&gt;&lt;FQL&gt;&lt;Q&gt;HCI^FF_NET_INC_CF(,12/2018,,,,LOCAL)&lt;/Q&gt;&lt;R&gt;0&lt;/R&gt;&lt;C&gt;0&lt;/C&gt;&lt;/FQL&gt;&lt;FQL&gt;&lt;Q&gt;HCI^FF_NET_INC_CF(,12/2019,,,,LOCAL)&lt;/Q&gt;&lt;R&gt;0&lt;/R&gt;&lt;C&gt;0&lt;/C&gt;&lt;/FQL&gt;&lt;FQL&gt;&lt;Q&gt;HCI^FF_NET_INC_CF(,12/2020,,,,LOCAL)&lt;/Q&gt;&lt;R&gt;0&lt;/R&gt;&lt;C&gt;0&lt;/C&gt;&lt;/FQL&gt;&lt;FQL&gt;&lt;Q&gt;HCI^FF_NET_INC_CF(,12/2021,,,,LOCAL)&lt;/Q&gt;&lt;R&gt;0&lt;/R&gt;&lt;C&gt;0&lt;/C&gt;&lt;/FQL&gt;&lt;FQL&gt;&lt;Q&gt;HCI^FF_NET_INC_CF(,12/2022,,,,LOCAL)&lt;/Q&gt;&lt;R&gt;0&lt;/R&gt;&lt;C&gt;0&lt;/C&gt;&lt;/FQL&gt;&lt;FQL&gt;&lt;Q&gt;HCI^FF_DEP_EXP_XAMORT_CF(,12/2012,,,,LOCAL)&lt;/Q&gt;&lt;R&gt;0&lt;/R&gt;&lt;C&gt;0&lt;/C&gt;&lt;/FQL&gt;&lt;FQL&gt;&lt;Q&gt;HCI^FF_DEP_EXP_XAMORT_CF(,12/2013,,,,LOCAL)&lt;/Q&gt;&lt;R&gt;0&lt;/R&gt;&lt;C&gt;0&lt;/C&gt;&lt;/FQL&gt;&lt;FQL&gt;&lt;Q&gt;HCI^FF_DEP_EXP_XAMORT_CF(,12/2014,,,,LOCAL)&lt;/Q&gt;&lt;R&gt;0&lt;/R&gt;&lt;C&gt;0&lt;/C&gt;&lt;/FQL&gt;&lt;FQL&gt;&lt;Q&gt;HCI^FF_DEP_EXP_XAMORT_CF(,12/2015,,,,LOCAL)&lt;/Q&gt;&lt;R&gt;0&lt;/R&gt;&lt;C&gt;0&lt;/C&gt;&lt;/FQL&gt;&lt;FQL&gt;&lt;Q&gt;HCI^FF_DEP_EXP_XAMORT_CF(,12/2016,,,,LOCAL)&lt;/Q&gt;&lt;R&gt;0&lt;/R&gt;&lt;C&gt;0&lt;/C&gt;&lt;/FQL&gt;&lt;FQL&gt;&lt;Q&gt;HCI^FF_DEP_EXP_XAMORT_CF(,12/2017,,,,LOCAL)&lt;/Q&gt;&lt;R&gt;0&lt;/R&gt;&lt;C&gt;0&lt;/C&gt;&lt;/FQL&gt;&lt;FQL&gt;&lt;Q&gt;HCI^FF_DEP_EXP_XAMORT_CF(,12/2018,,,,LOCAL)&lt;/Q&gt;&lt;R&gt;0&lt;/R&gt;&lt;C&gt;0&lt;/C&gt;&lt;/FQL&gt;&lt;FQL&gt;&lt;Q&gt;HCI^FF_DEP_EXP_XAMORT_CF(,12/2019,,,,LOCAL)&lt;/Q&gt;&lt;R&gt;0&lt;/R&gt;&lt;C&gt;0&lt;/C&gt;&lt;/FQL&gt;&lt;FQL&gt;&lt;Q&gt;HCI^FF_DEP_EXP_XAMORT_CF(,12/2020,,,,LOCAL)&lt;/Q&gt;&lt;R&gt;0&lt;/R&gt;&lt;C&gt;0&lt;/C&gt;&lt;/FQL&gt;&lt;FQL&gt;&lt;Q&gt;HCI^FF_DEP_EXP_XAMORT_CF(,12/2021,,,,LOCAL)&lt;/Q&gt;&lt;R&gt;0&lt;/R&gt;&lt;C&gt;0&lt;/C&gt;&lt;/FQL&gt;&lt;FQL&gt;&lt;Q&gt;HCI^FF_DEP_EXP_XAMORT_CF(,12/2022,,,,LOCAL)&lt;/Q&gt;&lt;R&gt;0&lt;/R&gt;&lt;C&gt;0&lt;/C&gt;&lt;/FQL&gt;&lt;FQL&gt;&lt;Q&gt;HCI^FF_AMORT_CF(,12/2012,,,,LOCAL)&lt;/Q&gt;&lt;R&gt;0&lt;/R&gt;&lt;C&gt;0&lt;/C&gt;&lt;/FQL&gt;&lt;FQL&gt;&lt;Q&gt;HCI^FF_AMORT_CF(,12/2013,,,,LOCAL)&lt;/Q&gt;&lt;R&gt;0&lt;/R&gt;&lt;C&gt;0&lt;/C&gt;&lt;/FQL&gt;&lt;FQL&gt;&lt;Q&gt;HCI^FF_AMORT_CF(,12/2014,,,,LOCAL)&lt;/Q&gt;&lt;R&gt;0&lt;/R&gt;&lt;C&gt;0&lt;/C&gt;&lt;/FQL&gt;&lt;FQL&gt;&lt;Q&gt;HCI^FF_AMORT_CF(,12/2015,,,,LOCAL)&lt;/Q&gt;&lt;R&gt;0&lt;/R&gt;&lt;C&gt;0&lt;/C&gt;&lt;/FQL&gt;&lt;FQL&gt;&lt;Q&gt;HCI^FF_AMORT_CF(,12/2016,,,,LOCAL)&lt;/Q&gt;&lt;R&gt;0&lt;/R&gt;&lt;C&gt;0&lt;/C&gt;&lt;/FQL&gt;&lt;FQL&gt;&lt;Q&gt;HCI^FF_AMORT_CF(,12/2017,,,,LOCAL)&lt;/Q&gt;&lt;R&gt;0&lt;/R&gt;&lt;C&gt;0&lt;/C&gt;&lt;/FQL&gt;&lt;FQL&gt;&lt;Q&gt;HCI^FF_AMORT_CF(,12/2018,,,,LOCAL)&lt;/Q&gt;&lt;R&gt;0&lt;/R&gt;&lt;C&gt;0&lt;/C&gt;&lt;/FQL&gt;&lt;FQL&gt;&lt;Q&gt;HCI^FF_AMORT_CF(,12/2019,,,,LOCAL)&lt;/Q&gt;&lt;R&gt;0&lt;/R&gt;&lt;C&gt;0&lt;/C&gt;&lt;/FQL&gt;&lt;FQL&gt;&lt;Q&gt;HCI^FF_AMORT_CF(,12/2020,,,,LOCAL)&lt;/Q&gt;&lt;R&gt;0&lt;/R&gt;&lt;C&gt;0&lt;/C&gt;&lt;/FQL&gt;&lt;FQL&gt;&lt;Q&gt;HCI^FF_AMORT_CF(,12/2021,,,,LOCAL)&lt;/Q&gt;&lt;R&gt;0&lt;/R&gt;&lt;C&gt;0&lt;/C&gt;&lt;/FQL&gt;&lt;FQL&gt;&lt;Q&gt;HCI^FF_AMORT_CF(,12/2022,,,,LOCAL)&lt;/Q&gt;&lt;R&gt;0&lt;/R&gt;&lt;C&gt;0&lt;/C&gt;&lt;/FQL&gt;&lt;FQL&gt;&lt;Q&gt;HCI^FF_DFD_TAX_CF(,12/2012,,,,LOCAL)&lt;/Q&gt;&lt;R&gt;0&lt;/R&gt;&lt;C&gt;0&lt;/C&gt;&lt;/FQL&gt;&lt;FQL&gt;&lt;Q&gt;HCI^FF_DFD_TAX_CF(,12/2013,,,,LOCAL)&lt;/Q&gt;&lt;R&gt;0&lt;/R&gt;&lt;C&gt;0&lt;/C&gt;&lt;/FQL&gt;&lt;FQL&gt;&lt;Q&gt;HCI^FF_DFD_TAX_CF(,12/2014,,,,LOCAL)&lt;/Q&gt;&lt;R&gt;0&lt;/R&gt;&lt;C&gt;0&lt;/C&gt;&lt;/FQL&gt;&lt;FQL&gt;&lt;Q&gt;HCI^FF_DFD_TAX_CF(,12/2015,,,,LOCAL)&lt;/Q&gt;&lt;R&gt;0&lt;/R&gt;&lt;C&gt;0&lt;/C&gt;&lt;/FQL&gt;&lt;FQL&gt;&lt;Q&gt;HCI^FF_DFD_TAX_CF(,12/2016,,,,LOCAL)&lt;/Q&gt;&lt;R&gt;0&lt;/R&gt;&lt;C&gt;0&lt;/C&gt;&lt;/FQL&gt;&lt;FQL&gt;&lt;Q&gt;HCI^FF_DFD_TAX_CF(,12/2017,,,,LOCAL)&lt;/Q&gt;&lt;R&gt;0&lt;/R&gt;&lt;C&gt;0&lt;/C&gt;&lt;/FQL&gt;&lt;FQL&gt;&lt;Q&gt;HCI^FF_DFD_TAX_CF(,12/2018,,,,LOCAL)&lt;/Q&gt;&lt;R&gt;0&lt;/R&gt;&lt;C&gt;0&lt;/C&gt;&lt;/FQL&gt;&lt;FQL&gt;&lt;Q&gt;HCI^FF_DFD_TAX_CF(,12/2019,,,,LOCAL)&lt;/Q&gt;&lt;R&gt;0&lt;/R&gt;&lt;C&gt;0&lt;/C&gt;&lt;/FQL&gt;&lt;FQL&gt;&lt;Q&gt;HCI^FF_DFD_TAX_CF(,12/2020,,,,LOCAL)&lt;/Q&gt;&lt;R&gt;0&lt;/R&gt;&lt;C&gt;0&lt;/C&gt;&lt;/FQL&gt;&lt;FQL&gt;&lt;Q&gt;HCI^FF_DFD_TAX_CF(,12/2021,,,,LOCAL)&lt;/Q&gt;&lt;R&gt;0&lt;/R&gt;&lt;C&gt;0&lt;/C&gt;&lt;/FQL&gt;&lt;FQL&gt;&lt;Q&gt;HCI^FF_DFD_TAX_CF(,12/2022,,,,LOCAL)&lt;/Q&gt;&lt;R&gt;0&lt;/R&gt;&lt;C&gt;0&lt;/C&gt;&lt;/FQL&gt;&lt;FQL&gt;&lt;Q&gt;HCI^FF_NON_CASH(,12/2012,,,,LOCAL)&lt;/Q&gt;&lt;R&gt;0&lt;/R&gt;&lt;C&gt;0&lt;/C&gt;&lt;/FQL&gt;&lt;FQL&gt;&lt;Q&gt;HCI^FF_NON_CASH(,12/2013,,,,LOCAL)&lt;/Q&gt;&lt;R&gt;0&lt;/R&gt;&lt;C&gt;0&lt;/C&gt;&lt;/FQL&gt;&lt;FQL&gt;&lt;Q&gt;HCI^FF_NON_CASH(,12/2014,,,,LOCAL)&lt;/Q&gt;&lt;R&gt;0&lt;/R&gt;&lt;C&gt;0&lt;/C&gt;&lt;/FQL&gt;&lt;FQL&gt;&lt;Q&gt;HCI^FF_NON_CASH(,12/2015,,,,LOCAL)&lt;/Q&gt;&lt;R&gt;0&lt;/R&gt;&lt;C&gt;0&lt;/C&gt;&lt;/FQL&gt;&lt;FQL&gt;&lt;Q&gt;HCI^FF_NON_CASH(,12/2016,,,,LOCAL)&lt;/Q&gt;&lt;R&gt;0&lt;/R&gt;&lt;C&gt;0&lt;/C&gt;&lt;/FQL&gt;&lt;FQL&gt;&lt;Q&gt;HCI^FF_NON_CASH(,12/2017,,,,LOCAL)&lt;/Q&gt;&lt;R&gt;0&lt;/R&gt;&lt;C&gt;0&lt;/C&gt;&lt;/FQL&gt;&lt;FQL&gt;&lt;Q&gt;HCI^FF_NON_CASH(,12/2018,,,,LOCAL)&lt;/Q&gt;&lt;R&gt;0&lt;/R&gt;&lt;C&gt;0&lt;/C&gt;&lt;/FQL&gt;&lt;FQL&gt;&lt;Q&gt;HCI^FF_NON_CASH(,12/2019,,,,LOCAL)&lt;/Q&gt;&lt;R&gt;0&lt;/R&gt;&lt;C&gt;0&lt;/C&gt;&lt;/FQL&gt;&lt;FQL&gt;&lt;Q&gt;HCI^FF_NON_CASH(,12/2020,,,,LOCAL)&lt;/Q&gt;&lt;R&gt;0&lt;/R&gt;&lt;C&gt;0&lt;/C&gt;&lt;/FQL&gt;&lt;FQL&gt;&lt;Q&gt;HCI^FF_NON_CASH(,12/2021,,,,LOCAL)&lt;/Q&gt;&lt;R&gt;0&lt;/R&gt;&lt;C&gt;0&lt;/C&gt;&lt;/FQL&gt;&lt;FQL&gt;&lt;Q&gt;HCI^FF_NON_CASH(,12/2022,,,,LOCAL)&lt;/Q&gt;&lt;R&gt;0&lt;/R&gt;&lt;C&gt;0&lt;/C&gt;&lt;/FQL&gt;&lt;FQL&gt;&lt;Q&gt;HCI^FF_WKCAP_CHG(,12/2012,,,,LOCAL)&lt;/Q&gt;&lt;R&gt;1&lt;/R&gt;&lt;C&gt;1&lt;/C&gt;&lt;D xsi:type="xsd:double"&gt;76.032&lt;/D&gt;&lt;/FQL&gt;&lt;FQL&gt;&lt;Q&gt;HCI^FF_WKCAP_CHG(,12/2013,,,,LOCAL)&lt;/Q&gt;&lt;R&gt;1&lt;/R&gt;&lt;C&gt;1&lt;/C&gt;&lt;D xsi:type="xsd:double"&gt;-18.466&lt;/D&gt;&lt;/FQL&gt;&lt;FQL&gt;&lt;Q&gt;HCI^FF_WKCAP_CHG(,12/2014,,,,LOCAL)&lt;/Q&gt;&lt;R&gt;1&lt;/R&gt;&lt;C&gt;1&lt;/C&gt;&lt;D xsi:type="xsd:double"&gt;21.529&lt;/D&gt;&lt;/FQL&gt;&lt;FQL&gt;&lt;Q&gt;HCI^FF_WKCAP_CHG(,12/2015,,,,LOCAL)&lt;/Q&gt;&lt;R&gt;1&lt;/R&gt;&lt;C&gt;1&lt;/C&gt;&lt;D xsi:type="xsd:double"&gt;-39.214&lt;/D&gt;&lt;/FQL&gt;&lt;FQL&gt;&lt;Q&gt;HCI^FF_WKCAP_CHG(,12/2016,,,,LOCAL)&lt;/Q&gt;&lt;R&gt;1&lt;/R&gt;&lt;C&gt;1&lt;/C&gt;&lt;D xsi:type="xsd:double"&gt;55.043&lt;/D&gt;&lt;/FQL&gt;&lt;FQL&gt;&lt;Q&gt;HCI^FF_WKCAP_CHG(,12/2017,,,,LOCAL)&lt;/Q&gt;&lt;R&gt;1&lt;/R&gt;&lt;C&gt;1&lt;/C&gt;&lt;D xsi:type="xsd:double"&gt;16.054&lt;/D&gt;&lt;/FQL&gt;&lt;FQL&gt;&lt;Q&gt;HCI^FF_WKCAP_CHG(,12/2018,,,,LOCAL)&lt;/Q&gt;&lt;R&gt;1&lt;/R&gt;&lt;C&gt;1&lt;/C&gt;&lt;D xsi:type="xsd:double"&gt;-7.645&lt;/D&gt;&lt;/FQL&gt;&lt;FQL&gt;&lt;Q&gt;HCI^FF_WKCAP_CHG(,12/2019,,,,LOCAL)&lt;/Q&gt;&lt;R&gt;1&lt;/R&gt;&lt;C&gt;1&lt;/C&gt;&lt;D xsi:type="xsd:double"&gt;14.125&lt;/D&gt;&lt;/FQL&gt;&lt;FQL&gt;&lt;Q&gt;HCI^FF_WKCAP_CHG(,12/2020,,,,LOCAL)&lt;/Q&gt;&lt;R&gt;1&lt;/R&gt;&lt;C&gt;1&lt;/C&gt;&lt;D xsi:type="xsd:double"&gt;60.04&lt;/D&gt;&lt;/FQL&gt;&lt;FQL&gt;&lt;Q&gt;HCI^FF_WKCAP_CHG(,12/2021,,,,LOCAL)&lt;/Q&gt;&lt;R&gt;1&lt;/R&gt;&lt;C&gt;1&lt;/C&gt;&lt;D xsi:type="xsd:double"&gt;76.244&lt;/D&gt;&lt;/FQL&gt;&lt;FQL&gt;&lt;Q&gt;HCI^FF_WKCAP_CHG(,12/2022,,,,LOCAL)&lt;/Q&gt;&lt;R&gt;1&lt;/R&gt;&lt;C&gt;1&lt;/C&gt;&lt;D xsi:type="xsd:double"&gt;49.13&lt;/D&gt;&lt;/FQL&gt;&lt;FQL&gt;&lt;Q&gt;HCI^FF_OPER_CF(,12/2012,,,,LOCAL)&lt;/Q&gt;&lt;R&gt;1&lt;/R&gt;&lt;C&gt;1&lt;/C&gt;&lt;D xsi:type="xsd:double"&gt;106.266&lt;/D&gt;&lt;/FQL&gt;&lt;FQL&gt;&lt;Q&gt;HCI^FF_OPER_CF(,12/2013,,,,LOCAL)&lt;/Q&gt;&lt;R&gt;1&lt;/R&gt;&lt;C&gt;1&lt;/C&gt;&lt;D xsi:type="xsd:double"&gt;55.472&lt;/D&gt;&lt;/FQL&gt;&lt;FQL&gt;&lt;Q&gt;HCI^FF_OPER_CF(,12/2014,,,,LOCAL)&lt;/Q&gt;&lt;R&gt;1&lt;/R&gt;&lt;C&gt;1&lt;/C&gt;&lt;D xsi:type="xsd:double"&gt;89.414&lt;/D&gt;&lt;/FQL&gt;&lt;FQL&gt;&lt;Q&gt;HCI^FF_OPER_CF(,12/2015,,,,LOCAL)&lt;/Q&gt;&lt;R&gt;1&lt;/R&gt;&lt;C&gt;1&lt;/C&gt;&lt;D xsi:type="xsd:double"&gt;46.029&lt;/D&gt;&lt;/FQL&gt;&lt;FQL&gt;&lt;Q&gt;HCI^FF_OPER_CF(,12/2016,,,,LOCAL)&lt;/Q&gt;&lt;R&gt;1&lt;/R&gt;&lt;C&gt;1&lt;/C&gt;&lt;D xsi:type="xsd:double"&gt;88.722&lt;/D&gt;&lt;/FQL&gt;&lt;FQL&gt;&lt;Q&gt;HCI^FF_OPER_CF(,12/2017,,,,LOCAL)&lt;/Q&gt;&lt;R&gt;1&lt;/R&gt;&lt;C&gt;1&lt;/C&gt;&lt;D xsi:type="xsd:double"&gt;29.674&lt;/D&gt;&lt;/FQL&gt;&lt;FQL&gt;&lt;Q&gt;HCI^FF_OPER_CF(,12/2018,,,,LOCAL)&lt;/Q&gt;&lt;R&gt;1&lt;/R&gt;&lt;C&gt;1&lt;/C&gt;&lt;D xsi:type="xsd:double"&gt;30.415&lt;/D&gt;&lt;/FQL&gt;&lt;FQL&gt;&lt;Q&gt;HCI^FF_OPER_CF(,12/2019,,,,LOCAL)&lt;/Q&gt;&lt;R&gt;1&lt;/R&gt;&lt;C&gt;1&lt;/C&gt;&lt;D xsi:type="xsd:double"&gt;56.474&lt;/D&gt;&lt;/FQL&gt;&lt;FQL&gt;&lt;Q&gt;HCI^FF_OPER_CF(,12/2020,,,,LOCAL)&lt;/Q&gt;&lt;R&gt;1&lt;/R&gt;&lt;C&gt;1&lt;/C&gt;&lt;D xsi:type="xsd:double"&gt;79.703&lt;/D&gt;&lt;/FQL&gt;&lt;FQL&gt;&lt;Q&gt;HCI^FF_OPER_CF(,12/2021,,,,LOCAL)&lt;/Q&gt;&lt;R&gt;1&lt;/R&gt;&lt;C&gt;1&lt;/C&gt;&lt;D xsi:type="xsd:double"&gt;102.089&lt;/D&gt;&lt;/FQL&gt;&lt;FQL&gt;&lt;Q&gt;HCI^FF_OPER_CF(,12/2022,,,,LOCAL)&lt;/Q&gt;&lt;R&gt;1&lt;/R&gt;&lt;C&gt;1&lt;/C&gt;&lt;D xsi:type="xsd:double"&gt;5.77500000000001&lt;/D&gt;&lt;/FQL&gt;&lt;FQL&gt;&lt;Q&gt;HCI^FF_CAPEX(,12/2012,,,,LOCAL)&lt;/Q&gt;&lt;R&gt;1&lt;/R&gt;&lt;C&gt;1&lt;/C&gt;&lt;D xsi:type="xsd:double"&gt;1.196&lt;/D&gt;&lt;/FQL&gt;&lt;FQL&gt;&lt;Q&gt;HCI^FF_CAPEX(,12/2013,,,,LOCAL)&lt;/Q&gt;&lt;R&gt;1&lt;/R&gt;&lt;C&gt;1&lt;/C&gt;&lt;D xsi:type="xsd:double"&gt;3.433&lt;/D&gt;&lt;/FQL&gt;&lt;FQL&gt;&lt;Q&gt;HCI^FF_CAPEX(,12/2014,,,,LOCAL)&lt;/Q&gt;&lt;R&gt;1&lt;/R&gt;&lt;C&gt;1&lt;/C&gt;&lt;D xsi:type="xsd:double"&gt;0.453&lt;/D&gt;&lt;/FQL&gt;&lt;FQL&gt;&lt;Q&gt;HCI^FF_CAPEX(,12/2015,,,,LOCAL)&lt;/Q&gt;&lt;R&gt;1&lt;/R&gt;&lt;C&gt;1&lt;/C&gt;&lt;D xsi:type="xsd:double"&gt;0.84&lt;/D&gt;&lt;/FQL&gt;&lt;FQL&gt;&lt;Q&gt;HCI^FF_CAPEX(,12/2016,,,,LOCAL)&lt;/Q&gt;&lt;R&gt;1&lt;/R&gt;&lt;C&gt;1&lt;/C&gt;&lt;D xsi:type="xsd:double"&gt;0.865&lt;/D&gt;&lt;/FQL&gt;&lt;FQL&gt;&lt;Q&gt;HCI^FF_CAPEX(,12/2017,,,,LOCAL)&lt;/Q&gt;&lt;R&gt;1&lt;/R&gt;&lt;C&gt;1&lt;/C&gt;&lt;D xsi:type="xsd:double"&gt;2.977&lt;/D&gt;&lt;/FQL&gt;&lt;FQL&gt;&lt;Q&gt;HCI^FF_CAPEX(,12/2018,,,,LOCAL)&lt;/Q&gt;&lt;R&gt;1&lt;/R&gt;&lt;C&gt;1&lt;/C&gt;&lt;D xsi:type="xsd:double"&gt;2.596&lt;/D&gt;&lt;/FQL&gt;&lt;FQL&gt;&lt;Q&gt;HCI^FF_CAPEX(,12/2019,,,,LOCAL)&lt;/Q&gt;&lt;R&gt;1&lt;/R&gt;&lt;C&gt;1&lt;/C&gt;&lt;D xsi:type="xsd:double"&gt;2.887&lt;/D&gt;&lt;/FQL&gt;&lt;FQL&gt;&lt;Q&gt;HCI^FF_CAPEX(,12/2020,,,,LOCAL)&lt;/Q&gt;&lt;R&gt;1&lt;/R&gt;&lt;C&gt;1&lt;/C&gt;&lt;D xsi:type="xsd:double"&gt;6.437&lt;/D&gt;&lt;/FQL&gt;&lt;FQL&gt;&lt;Q&gt;HCI^FF_CAPEX(,12/2021,,,,LOCAL)&lt;/Q&gt;&lt;R&gt;1&lt;/R&gt;&lt;C&gt;1&lt;/C&gt;&lt;D xsi:type="xsd:double"&gt;3.318&lt;/D&gt;&lt;/FQL&gt;&lt;FQL&gt;&lt;Q&gt;HCI^FF_CAPEX(,12/2022,,,,LOCAL)&lt;/Q&gt;&lt;R&gt;1&lt;/R&gt;&lt;C&gt;1&lt;/C&gt;&lt;D xsi:type="xsd:double"&gt;10.141&lt;/D&gt;&lt;/FQL&gt;&lt;FQL&gt;&lt;Q&gt;HCI^FF_ACQ_BUS_CF(ANN_R,12/2012,,,,LOCAL)&lt;/Q&gt;&lt;R&gt;1&lt;/R&gt;&lt;C&gt;1&lt;/C&gt;&lt;D xsi:type="xsd:double"&gt;8.157&lt;/D&gt;&lt;/FQL&gt;&lt;FQL&gt;&lt;Q&gt;HCI^FF_ACQ_BUS_CF(ANN_R,12/2013,,,,LOCAL)&lt;/Q&gt;&lt;R&gt;1&lt;/R&gt;&lt;C&gt;1&lt;/C&gt;&lt;D xsi:type="xsd:double"&gt;0&lt;/D&gt;&lt;/FQL&gt;&lt;FQL&gt;&lt;Q&gt;HCI^FF_ACQ_BUS_CF(ANN_R,12/2014,,,,LOCAL)&lt;/Q&gt;&lt;R&gt;1&lt;/R&gt;&lt;C&gt;1&lt;/C&gt;&lt;D xsi:type="xsd:double"&gt;0&lt;/D&gt;&lt;/FQL&gt;&lt;FQL&gt;&lt;Q&gt;HCI^FF_ACQ_BUS_CF(ANN_R,12/2015,,,,LOCAL)&lt;/Q&gt;&lt;R&gt;1&lt;/R&gt;&lt;C&gt;1&lt;/C&gt;&lt;D xsi:type="xsd:double"&gt;0&lt;/D&gt;&lt;/FQL&gt;&lt;FQL&gt;&lt;Q&gt;HCI^FF_ACQ_BUS_CF(ANN_R,12/2016,,,,LOCAL)&lt;/Q&gt;&lt;R&gt;1&lt;/R&gt;&lt;C&gt;1&lt;/C&gt;&lt;D xsi:type="xsd:double"&gt;13.715&lt;/D&gt;&lt;/FQL&gt;&lt;FQL&gt;&lt;Q&gt;HCI^FF_ACQ_BUS_CF(ANN_R,12/2017,,,,LOCAL)&lt;/Q&gt;&lt;R&gt;1&lt;/R&gt;&lt;C&gt;1&lt;/C&gt;&lt;D xsi:type="xsd:double"&gt;0&lt;/D&gt;&lt;/FQL&gt;&lt;FQL&gt;&lt;Q&gt;HCI^FF_ACQ_BUS_CF(ANN_R,12/2018,,,,LOCAL)&lt;/Q&gt;&lt;R&gt;1&lt;/R&gt;&lt;C&gt;1&lt;/C&gt;&lt;D xsi:type="xsd:double"&gt;0.539&lt;/D&gt;&lt;/FQL&gt;&lt;FQL&gt;&lt;Q&gt;HCI^FF_ACQ_BUS_CF(ANN_R,12/2019,,,,LOCAL)&lt;/Q&gt;&lt;R&gt;1&lt;/R&gt;&lt;C&gt;1&lt;/C&gt;&lt;D xsi:type="xsd:double"&gt;0&lt;/D&gt;&lt;/FQL&gt;&lt;FQL&gt;&lt;Q&gt;HCI^FF_ACQ_BUS_CF(ANN_R,12/2020,,,,LOCAL)&lt;/Q&gt;&lt;R&gt;1&lt;/R&gt;&lt;C&gt;1&lt;/C&gt;&lt;D xsi:type="xsd:double"&gt;0&lt;/D&gt;&lt;/FQL&gt;&lt;FQL&gt;&lt;Q&gt;HCI^FF_ACQ_BUS_CF(ANN_R,12/2021,,,,LOCAL)&lt;/Q&gt;&lt;R&gt;1&lt;/R&gt;&lt;C&gt;1&lt;/C&gt;&lt;D xsi:type="xsd:double"&gt;6.317&lt;/D&gt;&lt;/FQL&gt;&lt;FQL&gt;&lt;Q&gt;HCI^FF_ACQ_BUS_CF(ANN_R,12/2022,,,,LOCAL)&lt;/Q&gt;&lt;R&gt;1&lt;/R&gt;&lt;C&gt;1&lt;/C&gt;&lt;D xsi:type="xsd:double"&gt;0.406&lt;/D&gt;&lt;/FQL&gt;&lt;FQL&gt;&lt;Q&gt;HCI^FF_SALE_ASSETS_BUS_CF(ANN_R,12/2012,,,,LOCAL)&lt;/Q&gt;&lt;R&gt;1&lt;/R&gt;&lt;C&gt;1&lt;/C&gt;&lt;D xsi:type="xsd:double"&gt;0&lt;/D&gt;&lt;/FQL&gt;&lt;FQL&gt;&lt;Q&gt;HCI^FF_SALE_ASSETS_BUS_CF(ANN_R,12/2013,,,,LOCAL)&lt;/Q&gt;&lt;R&gt;1&lt;/R&gt;&lt;C&gt;1&lt;/C&gt;&lt;D xsi:type="xsd:double"&gt;0.001&lt;/D&gt;&lt;/FQL&gt;&lt;FQL&gt;&lt;Q&gt;HCI^FF_SALE_ASSETS_BUS_CF(ANN_R,12/2014,,,,LOCAL)&lt;/Q&gt;&lt;R&gt;1&lt;/R&gt;&lt;C&gt;1&lt;/C&gt;&lt;D xsi:type="xsd:double"&gt;0&lt;/D&gt;&lt;/FQL&gt;&lt;FQL&gt;&lt;Q&gt;HCI^FF_SALE_ASSETS_BUS_CF(ANN_R,12/2015,,,,LOCAL)&lt;/Q&gt;&lt;R&gt;1&lt;/R&gt;&lt;C&gt;1&lt;/C&gt;&lt;D xsi:type="xsd:double"&gt;0&lt;/D&gt;&lt;/FQL&gt;&lt;FQL&gt;&lt;Q&gt;HCI^FF_SALE_ASSETS_BUS_CF(ANN_R,12/2016,,,,LOCAL)&lt;/Q&gt;&lt;R&gt;1&lt;/R&gt;&lt;C&gt;1&lt;/C&gt;&lt;D xsi:type="xsd:double"&gt;0&lt;/D&gt;&lt;/FQL&gt;&lt;FQL&gt;&lt;Q&gt;HCI^FF_SALE_ASSETS_BUS_CF(ANN_R,12/2017,,,,LOCAL)&lt;/Q&gt;&lt;R&gt;1&lt;/R&gt;&lt;C&gt;1&lt;/C&gt;&lt;D xsi:type="xsd:double"&gt;0&lt;/D&gt;&lt;/FQL&gt;&lt;FQL&gt;&lt;Q&gt;HCI^FF_SALE_ASSETS_BUS_CF(ANN_R,12/2018,,,,LOCAL)&lt;/Q&gt;&lt;R&gt;1&lt;/R&gt;&lt;C&gt;1&lt;/C&gt;&lt;D xsi:type="xsd:double"&gt;0&lt;/D&gt;&lt;/FQL&gt;&lt;FQL&gt;&lt;Q&gt;HCI^FF_SALE_ASSETS_BUS_CF(ANN_R,12/2019,,,,LOCAL)&lt;/Q&gt;&lt;R&gt;1&lt;/R&gt;&lt;C&gt;1&lt;/C&gt;&lt;D xsi:type="xsd:double"&gt;0&lt;/D&gt;&lt;/FQL&gt;&lt;FQL&gt;&lt;Q&gt;HCI^FF_SALE_ASSETS_BUS_CF(ANN_R,12/2020,,,,LOCAL)&lt;/Q&gt;&lt;R&gt;1&lt;/R&gt;&lt;C&gt;1&lt;/C&gt;&lt;D xsi:type="xsd:double"&gt;0&lt;/D&gt;&lt;/FQL&gt;&lt;FQL&gt;&lt;Q&gt;HCI^FF_SALE_ASSETS_BUS_CF(ANN_R,12/2021,,,,LOCAL)&lt;/Q&gt;&lt;R&gt;1&lt;/R&gt;&lt;C&gt;1&lt;/C&gt;&lt;D xsi:type="xsd:double"&gt;100&lt;/D&gt;&lt;/FQL&gt;&lt;FQL&gt;&lt;Q&gt;HCI^FF_SALE_ASSETS_BUS_CF(ANN_R,12/2022,,,,LOCAL)&lt;/Q&gt;&lt;R&gt;1&lt;/R&gt;&lt;C&gt;1&lt;/C&gt;&lt;D xsi:type="xsd:double"&gt;0&lt;/D&gt;&lt;/FQL&gt;&lt;FQL&gt;&lt;Q&gt;HCI^FF_INVEST_PURCH_CF(ANN_R,12/2012,,,,LOCAL)&lt;/Q&gt;&lt;R&gt;1&lt;/R&gt;&lt;C&gt;1&lt;/C&gt;&lt;D xsi:type="xsd:double"&gt;18.138&lt;/D&gt;&lt;/FQL&gt;&lt;FQL&gt;&lt;Q&gt;HCI^FF_INVEST_PURCH_CF(ANN_R,12/2013,,,,LOCAL)&lt;/Q&gt;&lt;R&gt;1&lt;/R&gt;&lt;C&gt;1&lt;/C&gt;&lt;D xsi:type="xsd:double"&gt;94.78&lt;/D&gt;&lt;/FQL&gt;&lt;FQL&gt;&lt;Q&gt;HCI^FF_INVEST_PURCH_CF(ANN_R,12/2014,,,,LOCAL)&lt;/Q&gt;&lt;R&gt;1&lt;/R&gt;&lt;C&gt;1&lt;/C&gt;&lt;D xsi:type="xsd:double"&gt;137.978&lt;/D&gt;&lt;/FQL&gt;&lt;FQL&gt;&lt;Q&gt;HCI^FF_INVEST_PURCH_CF(ANN_R,12/2015,,,,LOCAL)&lt;/Q&gt;&lt;R&gt;1&lt;/R&gt;&lt;C&gt;1&lt;/C&gt;&lt;D xsi:type="xsd:double"&gt;168.289&lt;/D&gt;&lt;/FQL&gt;&lt;FQL&gt;&lt;Q&gt;HCI^FF_INVEST_PURCH_CF(ANN_R,12/2016,,,,LOCAL)&lt;/Q&gt;&lt;R&gt;1&lt;/R&gt;&lt;C&gt;1&lt;/C&gt;&lt;D xsi:type="xsd:double"&gt;114.985&lt;/D&gt;&lt;/FQL&gt;&lt;FQL&gt;&lt;Q&gt;HCI^FF_INVEST_PURCH_CF(ANN_R,12/2017,,,,LOCAL)&lt;/Q&gt;&lt;R&gt;1&lt;/R&gt;&lt;C&gt;1&lt;/C&gt;&lt;D xsi:type="xsd:double"&gt;181.3&lt;/D&gt;&lt;/FQL&gt;&lt;FQL&gt;&lt;Q&gt;HCI^FF_INVEST_PURCH_CF(ANN_R,12/2018,,,,LOCAL)&lt;/Q&gt;&lt;R&gt;1&lt;/R&gt;&lt;C&gt;1&lt;/C&gt;&lt;D xsi:type="xsd:double"&gt;381.616&lt;/D&gt;&lt;/FQL&gt;&lt;FQL&gt;&lt;Q&gt;HCI^FF_INVEST_PURCH_CF(ANN_R,12/2019,,,,LOCAL)&lt;/Q&gt;&lt;R&gt;1&lt;/R&gt;&lt;C&gt;1&lt;/C&gt;&lt;D xsi:type="xsd:double"&gt;121.132&lt;/D&gt;&lt;/FQL&gt;&lt;FQL&gt;&lt;Q&gt;HCI^FF_INVEST_PURCH_CF(ANN_R,12/2020,,,,LOCAL)&lt;/Q&gt;&lt;R&gt;1&lt;/R&gt;&lt;C&gt;1&lt;/C&gt;&lt;D xsi:type="xsd:double"&gt;110.635&lt;/D&gt;&lt;/FQL&gt;&lt;FQL&gt;&lt;Q&gt;HCI^FF_INVEST_PURCH_CF(ANN_R,12/2021,,,,LOCAL)&lt;/Q&gt;&lt;R&gt;1&lt;/R&gt;&lt;C&gt;1&lt;/C&gt;&lt;D xsi:type="xsd:double"&gt;127.534&lt;/D&gt;&lt;/FQL&gt;&lt;FQL&gt;&lt;Q&gt;HCI^FF_INVEST_PURCH_CF(ANN_R,12/2022,,,,LOCAL)&lt;/Q&gt;&lt;R&gt;1&lt;/R&gt;&lt;C&gt;1&lt;/C&gt;&lt;D xsi:type="xsd:double"&gt;640.58&lt;/D&gt;&lt;/FQL&gt;&lt;FQL&gt;&lt;Q&gt;HCI^FF_INVEST_SALE_CF(ANN_R,12/2012,,,,LOCAL)&lt;/Q&gt;&lt;R&gt;1&lt;/R&gt;&lt;C&gt;1&lt;/C&gt;&lt;D xsi:type="xsd:double"&gt;26.28&lt;/D&gt;&lt;/FQL&gt;&lt;FQL&gt;&lt;Q&gt;HCI^FF_INVEST_SALE_CF(ANN_R,12/2013,,,,LOCAL)&lt;/Q&gt;&lt;R&gt;1&lt;/R&gt;&lt;C&gt;1&lt;/C&gt;&lt;D xsi:type="xsd:double"&gt;8.172&lt;/D&gt;&lt;/FQL&gt;&lt;FQL&gt;&lt;Q&gt;HCI^FF_INVEST_SALE_CF(ANN_R,12/2014,,,,LOCAL)&lt;/Q&gt;&lt;R&gt;1&lt;/R&gt;&lt;C&gt;1&lt;/C&gt;&lt;D xsi:type="xsd:double"&gt;119.779&lt;/D&gt;&lt;/FQL&gt;&lt;FQL&gt;&lt;Q&gt;HCI^FF_INVEST_SALE_CF(ANN_R,12/2015,,,,LOCAL)&lt;/Q&gt;&lt;R&gt;1&lt;/R&gt;&lt;C&gt;1&lt;/C&gt;&lt;D xsi:type="xsd:double"&gt;88.755&lt;/D&gt;&lt;/FQL&gt;&lt;FQL&gt;&lt;Q&gt;HCI^FF_INVEST_SALE_CF(ANN_R,12/2016,,,,LOCAL)&lt;/Q&gt;&lt;R&gt;1&lt;/R&gt;&lt;C&gt;1&lt;/C&gt;&lt;D xsi:type="xsd:double"&gt;78.473&lt;/D&gt;&lt;/FQL&gt;&lt;FQL&gt;&lt;Q&gt;HCI^FF_INVEST_SALE_CF(ANN_R,12/2017,,,,LOCAL)&lt;/Q&gt;&lt;R&gt;1&lt;/R&gt;&lt;C&gt;1&lt;/C&gt;&lt;D xsi:type="xsd:double"&gt;91.938&lt;/D&gt;&lt;/FQL&gt;&lt;FQL&gt;&lt;Q&gt;HCI^FF_INVEST_SALE_CF(ANN_R,12/2018,,,,LOCAL)&lt;/Q&gt;&lt;R&gt;1&lt;/R&gt;&lt;C&gt;1&lt;/C&gt;&lt;D xsi:type="xsd:double"&gt;365.681&lt;/D&gt;&lt;/FQL&gt;&lt;FQL&gt;&lt;Q&gt;HCI^FF_INVEST_SALE_CF(ANN_R,12/2019,,,,LOCAL)&lt;/Q&gt;&lt;R&gt;1&lt;/R&gt;&lt;C&gt;1&lt;/C&gt;&lt;D xsi:type="xsd:double"&gt;172.357&lt;/D&gt;&lt;/FQL&gt;&lt;FQL&gt;&lt;Q&gt;HCI^FF_INVEST_SALE_CF(ANN_R,12/2020,,,,LOCAL)&lt;/Q&gt;&lt;R&gt;1&lt;/R&gt;&lt;C&gt;1&lt;/C&gt;&lt;D xsi:type="xsd:double"&gt;214.201&lt;/D&gt;&lt;/FQL&gt;&lt;FQL&gt;&lt;Q&gt;HCI^FF_INVEST_SALE_CF(ANN_R,12/2021,,,,LOCAL)&lt;/Q&gt;&lt;R&gt;1&lt;/R&gt;&lt;C&gt;1&lt;/C&gt;&lt;D xsi:type="xsd:double"&gt;162.424&lt;/D&gt;&lt;/FQL&gt;&lt;FQL&gt;&lt;Q&gt;HCI^FF_INVEST_SALE_CF(ANN_R,12/2022,,,,LOCAL)&lt;/Q&gt;&lt;R&gt;1&lt;/R&gt;&lt;C&gt;1&lt;/C&gt;&lt;D xsi:type="xsd:double"&gt;195.973&lt;/D&gt;&lt;/FQL&gt;&lt;FQL&gt;&lt;Q&gt;HCI^FF_INVEST_ACTIV_CF(ANN_R,12/2012,,,,LOCAL)&lt;/Q&gt;&lt;R&gt;1&lt;/R&gt;&lt;C&gt;1&lt;/C&gt;&lt;D xsi:type="xsd:double"&gt;0&lt;/D&gt;&lt;/FQL&gt;&lt;FQL&gt;&lt;Q&gt;HCI^FF_INVEST_ACTIV_CF(ANN_R,12/2013,,,,LOCAL)&lt;/Q&gt;&lt;R&gt;1&lt;/R&gt;&lt;C&gt;1&lt;/C&gt;&lt;D xsi:type="xsd:double"&gt;0&lt;/D&gt;&lt;/FQL&gt;&lt;FQL&gt;&lt;Q&gt;HCI^FF_INVEST_ACTIV_CF(ANN_R,12/2014,,,,LOCAL)&lt;/Q&gt;&lt;R&gt;1&lt;/R&gt;&lt;C&gt;1&lt;/C&gt;&lt;D xsi:type="xsd:double"&gt;0&lt;/D&gt;&lt;/FQL&gt;&lt;FQL&gt;&lt;Q&gt;HCI^FF_INVEST_ACTIV_CF(ANN_R,12/2015,,,,LOCAL)&lt;/Q&gt;&lt;R&gt;1&lt;/R&gt;&lt;C&gt;1&lt;/C&gt;&lt;D xsi:type="xsd:double"&gt;0&lt;/D&gt;&lt;/FQL&gt;&lt;FQL&gt;&lt;Q&gt;HCI^FF_INVEST_ACTIV_CF(ANN_R,12/2016,,,,LOCAL)&lt;/Q&gt;&lt;R&gt;1&lt;/R&gt;&lt;C&gt;1&lt;/C&gt;&lt;D xsi:type="xsd:double"&gt;0&lt;/D&gt;&lt;/FQL&gt;&lt;FQL&gt;&lt;Q&gt;HCI^FF_INVEST_ACTIV_CF(ANN_R,12/2017,,,,LOCAL)&lt;/Q&gt;&lt;R&gt;1&lt;/R&gt;&lt;C&gt;1&lt;/C&gt;&lt;D xsi:type="xsd:double"&gt;0&lt;/D&gt;&lt;/FQL&gt;&lt;FQL&gt;&lt;Q&gt;HCI^FF_INVEST_ACTIV_CF(ANN_R,12/2018,,,,LOCAL)&lt;/Q&gt;&lt;R&gt;1&lt;/R&gt;&lt;C&gt;1&lt;/C&gt;&lt;D xsi:type="xsd:double"&gt;0&lt;/D&gt;&lt;/FQL&gt;&lt;FQL&gt;&lt;Q&gt;HCI^FF_INVEST_ACTIV_CF(ANN_R,12/2019,,,,LOCAL)&lt;/Q&gt;&lt;R&gt;1&lt;/R&gt;&lt;C&gt;1&lt;/C&gt;&lt;D xsi:type="xsd:double"&gt;0&lt;/D&gt;&lt;/FQL&gt;&lt;FQL&gt;&lt;Q&gt;HCI^FF_INVEST_ACTIV_CF(ANN_R,12/2020,,,,LOCAL)&lt;/Q&gt;&lt;R&gt;1&lt;/R&gt;&lt;C&gt;1&lt;/C&gt;&lt;D xsi:type="xsd:double"&gt;0&lt;/D&gt;&lt;/FQL&gt;&lt;FQL&gt;&lt;Q&gt;HCI^FF_INVEST_ACTIV_CF(ANN_R,12/2021,,,,LOCAL)&lt;/Q&gt;&lt;R&gt;1&lt;/R&gt;&lt;C&gt;1&lt;/C&gt;&lt;D xsi:type="xsd:double"&gt;0&lt;/D&gt;&lt;/FQL&gt;&lt;FQL&gt;&lt;Q&gt;HCI^FF_INVEST_ACTIV_CF(ANN_R,12/2022,,,,LOCAL)&lt;/Q&gt;&lt;R&gt;1&lt;/R&gt;&lt;C&gt;1&lt;/C&gt;&lt;D xsi:type="xsd:double"&gt;0&lt;/D&gt;&lt;/FQL&gt;&lt;FQL&gt;&lt;Q&gt;HCI^FF_INVEST_SOURCES_CF(ANN_R,12/2012,,,,LOCAL)&lt;/Q&gt;&lt;R&gt;1&lt;/R&gt;&lt;C&gt;1&lt;/C&gt;&lt;D xsi:type="xsd:double"&gt;0&lt;/D&gt;&lt;/FQL&gt;&lt;FQL&gt;&lt;Q&gt;HCI^FF_INVEST_SOURCES_CF(ANN_R,12/2013,,,,LOCAL)&lt;/Q&gt;&lt;R&gt;1&lt;/R&gt;&lt;C&gt;1&lt;/C&gt;&lt;D xsi:type="xsd:double"&gt;0&lt;/D&gt;&lt;/FQL&gt;&lt;FQL&gt;&lt;Q&gt;HCI^FF_INVEST_SOURCES_CF(ANN_R,12/2014,,,,LOCAL)&lt;/Q&gt;&lt;R&gt;1&lt;/R&gt;&lt;C&gt;1&lt;/C&gt;&lt;D xsi:type="xsd:double"&gt;0&lt;/D&gt;&lt;/FQL&gt;&lt;FQL&gt;&lt;Q&gt;HCI^FF_INVEST_SOURCES_CF(ANN_R,12/2015,,,,LOCAL)&lt;/Q&gt;&lt;R&gt;1&lt;/R&gt;&lt;C&gt;1&lt;/C&gt;&lt;D xsi:type="xsd:double"&gt;0&lt;/D&gt;&lt;/FQL&gt;&lt;FQL&gt;&lt;Q&gt;HCI^FF_INVEST_SOURCES_CF(ANN_R,12/2016,,,,LOCAL)&lt;/Q&gt;&lt;R&gt;1&lt;/R&gt;&lt;C&gt;1&lt;/C&gt;&lt;D xsi:type="xsd:double"&gt;0&lt;/D&gt;&lt;/FQL&gt;&lt;FQL&gt;&lt;Q&gt;HCI^FF_INVEST_SOURCES_CF(ANN_R,12/2017,,,,LOCAL)&lt;/Q&gt;&lt;R&gt;1&lt;/R&gt;&lt;C&gt;1&lt;/C&gt;&lt;D xsi:type="xsd:double"&gt;0&lt;/D&gt;&lt;/FQL&gt;&lt;FQL&gt;&lt;Q&gt;HCI^FF_INVEST_SOURCES_CF(ANN_R,12/2018,,,,LOCAL)&lt;/Q&gt;&lt;R&gt;1&lt;/R&gt;&lt;C&gt;1&lt;/C&gt;&lt;D xsi:type="xsd:double"&gt;0&lt;/D&gt;&lt;/FQL&gt;&lt;FQL&gt;&lt;Q&gt;HCI^FF_INVEST_SOURCES_CF(ANN_R,12/2019,,,,LOCAL)&lt;/Q&gt;&lt;R&gt;1&lt;/R&gt;&lt;C&gt;1&lt;/C&gt;&lt;D xsi:type="xsd:double"&gt;0&lt;/D&gt;&lt;/FQL&gt;&lt;FQL&gt;&lt;Q&gt;HCI^FF_INVEST_SOURCES_CF(ANN_R,12/2020,,,,LOCAL)&lt;/Q&gt;&lt;R&gt;1&lt;/R&gt;&lt;C&gt;1&lt;/C&gt;&lt;D xsi:type="xsd:double"&gt;44&lt;/D&gt;&lt;/FQL&gt;&lt;FQL&gt;&lt;Q&gt;HCI^FF_INVEST_SOURCES_CF(ANN_R,12/2021,,,,LOCAL)&lt;/Q&gt;&lt;R&gt;1&lt;/R&gt;&lt;C&gt;1&lt;/C&gt;&lt;D xsi:type="xsd:double"&gt;0&lt;/D&gt;&lt;/FQL&gt;&lt;FQL&gt;&lt;Q&gt;HCI^FF_INVEST_SOURCES_CF(ANN_R,12/2022,,,,LOCAL)&lt;/Q&gt;&lt;R&gt;1&lt;/R&gt;&lt;C&gt;1&lt;/C&gt;&lt;D xsi:type="xsd:double"&gt;14.5&lt;/D&gt;&lt;/FQL&gt;&lt;FQL&gt;&lt;Q&gt;HCI^FF_INVEST_CF(,12/2012,,,,LOCAL)&lt;/Q&gt;&lt;R&gt;1&lt;/R&gt;&lt;C&gt;1&lt;/C&gt;&lt;D xsi:type="xsd:double"&gt;-1.211&lt;/D&gt;&lt;/FQL&gt;&lt;FQL&gt;&lt;Q&gt;HCI^FF_INVEST_CF(,12/2013,,,,LOCAL)&lt;/Q&gt;&lt;R&gt;1&lt;/R&gt;&lt;C&gt;1&lt;/C&gt;&lt;D xsi:type="xsd:double"&gt;-90.04&lt;/D&gt;&lt;/FQL&gt;&lt;FQL&gt;&lt;Q&gt;HCI^FF_INVEST_CF(,12/2014,,,,LOCAL)&lt;/Q&gt;&lt;R&gt;1&lt;/R&gt;&lt;C&gt;1&lt;/C&gt;&lt;D xsi:type="xsd:double"&gt;-18.652&lt;/D&gt;&lt;/FQL&gt;&lt;FQL&gt;&lt;Q&gt;HCI^FF_INVEST_CF(,12/2015,,,,LOCAL)&lt;/Q&gt;&lt;R&gt;1&lt;/R&gt;&lt;C&gt;1&lt;/C&gt;&lt;D xsi:type="xsd:double"&gt;-80.374&lt;/D&gt;&lt;/FQL&gt;&lt;FQL&gt;&lt;Q&gt;HCI^FF_INVEST_CF(,12/2016,,,,LOCAL)&lt;/Q&gt;&lt;R&gt;1&lt;/R&gt;&lt;C&gt;1&lt;/C&gt;&lt;D xsi:type="xsd:double"&gt;-51.092&lt;/D&gt;&lt;/FQL&gt;&lt;FQL&gt;&lt;Q&gt;HCI^FF_INVEST_CF(,12/2017,,,,LOCAL)&lt;/Q&gt;&lt;R&gt;1&lt;/R&gt;&lt;C&gt;1&lt;/C&gt;&lt;D xsi:type="xsd:double"&gt;-92.339&lt;/D&gt;&lt;/FQL&gt;&lt;FQL&gt;&lt;Q&gt;HCI^FF_INVEST_CF(,12/2018,,,,LOCAL)&lt;/Q&gt;&lt;R&gt;1&lt;/R&gt;&lt;C&gt;1&lt;/C&gt;&lt;D xsi:type="xsd:double"&gt;-19.07&lt;/D&gt;&lt;/FQL&gt;&lt;FQL&gt;&lt;Q&gt;HCI^FF_INVEST_CF(,12/2019,,,,LOCAL)&lt;/Q&gt;&lt;R&gt;1&lt;/R&gt;&lt;C&gt;1&lt;/C&gt;&lt;D xsi:type="xsd:double"&gt;48.338&lt;/D&gt;&lt;/FQL&gt;&lt;FQL&gt;&lt;Q&gt;HCI^FF_INVEST_CF(,12/2020,,,,LOCAL)&lt;/Q&gt;&lt;R&gt;1&lt;/R&gt;&lt;C&gt;1&lt;/C&gt;&lt;D xsi:type="xsd:double"&gt;141.129&lt;/D&gt;&lt;/FQL&gt;&lt;FQL&gt;&lt;Q&gt;HCI^FF_INVEST_CF(,12/2021,,,,LOCAL)&lt;/Q&gt;&lt;R&gt;1&lt;/R&gt;&lt;C&gt;1&lt;/C&gt;&lt;D xsi:type="xsd:double"&gt;125.255&lt;/D&gt;&lt;/FQL&gt;&lt;FQL&gt;&lt;Q&gt;HCI^FF_INVEST_CF(,12/2022,,,,LOCAL)&lt;/Q&gt;&lt;R&gt;1&lt;/R&gt;&lt;C&gt;1&lt;/C&gt;&lt;D xsi:type="xsd:double"&gt;-440.654&lt;/D&gt;&lt;/FQL&gt;&lt;FQL&gt;&lt;Q&gt;HCI^FF_DIV_COM_CF(,12/2012,,,,LOCAL)&lt;/Q&gt;&lt;R&gt;1&lt;/R&gt;&lt;C&gt;1&lt;/C&gt;&lt;D xsi:type="xsd:double"&gt;8.561&lt;/D&gt;&lt;/FQL&gt;&lt;FQL&gt;&lt;Q&gt;HCI^FF_DIV_COM_CF(,12/2013,,,,LOCAL)&lt;/Q&gt;&lt;R&gt;1&lt;/R&gt;&lt;C&gt;1&lt;/C&gt;&lt;D xsi:type="xsd:double"&gt;10.902&lt;/D&gt;&lt;/FQL&gt;&lt;FQL&gt;&lt;Q&gt;HCI^FF_DIV_COM_CF(,12/2014,,,,LOCAL)&lt;/Q&gt;&lt;R&gt;1&lt;/R&gt;&lt;C&gt;1&lt;/C&gt;&lt;D xsi:type="xsd:double"&gt;12.355&lt;/D&gt;&lt;/FQL&gt;&lt;FQL&gt;&lt;Q&gt;HCI^FF_DIV_COM_CF(,12/2015,,,,LOCAL)&lt;/Q&gt;&lt;R&gt;1&lt;/R&gt;&lt;C&gt;1&lt;/C&gt;&lt;D xsi:type="xsd:double"&gt;12.428&lt;/D&gt;&lt;/FQL&gt;&lt;FQL&gt;&lt;Q&gt;HCI^FF_DIV_COM_CF(,12/2016,,,,LOCAL)&lt;/Q&gt;&lt;R&gt;1&lt;/R&gt;&lt;C&gt;1&lt;/C&gt;&lt;D xsi:type="xsd:double"&gt;12.438&lt;/D&gt;&lt;/FQL&gt;&lt;FQL&gt;&lt;Q&gt;HCI^FF_DIV_COM_CF(,12/2017,,,,LOCAL)&lt;/Q&gt;&lt;R&gt;1&lt;/R&gt;&lt;C&gt;1&lt;/C&gt;&lt;D xsi:type="xsd:double"&gt;13.906&lt;/D&gt;&lt;/FQL&gt;&lt;FQL&gt;&lt;Q&gt;HCI^FF_DIV_COM_CF(,12/2018,,,,LOCAL)&lt;/Q&gt;&lt;R&gt;1&lt;/R&gt;&lt;C&gt;1&lt;/C&gt;&lt;D xsi:type="xsd:double"&gt;11.318&lt;/D&gt;&lt;/FQL&gt;&lt;FQL&gt;&lt;Q&gt;HCI^FF_DIV_COM_CF(,12/2019,,,,LOCAL)&lt;/Q&gt;&lt;R&gt;1&lt;/R&gt;&lt;C&gt;1&lt;/C&gt;&lt;D xsi:type="xsd:double"&gt;13.012&lt;/D&gt;&lt;/FQL&gt;&lt;FQL&gt;&lt;Q&gt;HCI^FF_DIV_COM_CF(,12/2020,,,,LOCAL)&lt;/Q&gt;&lt;R&gt;1&lt;/R&gt;&lt;C&gt;1&lt;/C&gt;&lt;D xsi:type="xsd:double"&gt;12.694&lt;/D&gt;&lt;/FQL&gt;&lt;FQL&gt;&lt;Q&gt;HCI^FF_DIV_COM_CF(,12/2021,,,,LOCAL)&lt;/Q&gt;&lt;R&gt;1&lt;/R&gt;&lt;C&gt;1&lt;/C&gt;&lt;D xsi:type="xsd:double"&gt;14.065&lt;/D&gt;&lt;/FQL&gt;&lt;FQL&gt;&lt;Q&gt;HCI^FF_DIV_COM_CF(,12/2022,,,,LOCAL)&lt;/Q&gt;&lt;R&gt;1&lt;/R&gt;&lt;C&gt;1&lt;/C&gt;&lt;D xsi:type="xsd:double"&gt;15.233&lt;/D&gt;&lt;/FQL&gt;&lt;FQL&gt;&lt;Q&gt;HCI^FF_DEBT_CF(,12/2012,,,,LOCAL)&lt;/Q&gt;&lt;R&gt;1&lt;/R&gt;&lt;C&gt;1&lt;/C&gt;&lt;D xsi:type="xsd:double"&gt;0&lt;/D&gt;&lt;/FQL&gt;&lt;FQL&gt;&lt;Q&gt;HCI^FF_DEBT_CF(,12/2013,,,,LOCAL)&lt;/Q&gt;&lt;R&gt;1&lt;/R&gt;&lt;C&gt;1&lt;/C&gt;&lt;D xsi:type="xsd:double"&gt;138.48&lt;/D&gt;&lt;/FQL&gt;&lt;FQL&gt;&lt;Q&gt;HCI^FF_DEBT_CF(,12/2014,,,,LOCAL)&lt;/Q&gt;&lt;R&gt;1&lt;/R&gt;&lt;C&gt;1&lt;/C&gt;&lt;D xsi:type="xsd:double"&gt;0&lt;/D&gt;&lt;/FQL&gt;&lt;FQL&gt;&lt;Q&gt;HCI^FF_DEBT_CF(,12/2015,,,,LOCAL)&lt;/Q&gt;&lt;R&gt;1&lt;/R&gt;&lt;C&gt;1&lt;/C&gt;&lt;D xsi:type="xsd:double"&gt;0&lt;/D&gt;&lt;/FQL&gt;&lt;FQL&gt;&lt;Q&gt;HCI^FF_DEBT_CF(,12/2016,,,,LOCAL)&lt;/Q&gt;&lt;R&gt;1&lt;/R&gt;&lt;C&gt;1&lt;/C&gt;&lt;D xsi:type="xsd:double"&gt;7.297&lt;/D&gt;&lt;/FQL&gt;&lt;FQL&gt;&lt;Q&gt;HCI^FF_DEBT_CF(,12/2017,,,,LOCAL)&lt;/Q&gt;&lt;R&gt;1&lt;/R&gt;&lt;C&gt;1&lt;/C&gt;&lt;D xsi:type="xsd:double"&gt;97.66&lt;/D&gt;&lt;/FQL&gt;&lt;FQL&gt;&lt;Q&gt;HCI^FF_DEBT_CF(,12/2018,,,,LOCAL)&lt;/Q&gt;&lt;R&gt;1&lt;/R&gt;&lt;C&gt;1&lt;/C&gt;&lt;D xsi:type="xsd:double"&gt;4.768&lt;/D&gt;&lt;/FQL&gt;&lt;FQL&gt;&lt;Q&gt;HCI^FF_DEBT_CF(,12/2019,,,,LOCAL)&lt;/Q&gt;&lt;R&gt;1&lt;/R&gt;&lt;C&gt;1&lt;/C&gt;&lt;D xsi:type="xsd:double"&gt;-82.027&lt;/D&gt;&lt;/FQL&gt;&lt;FQL&gt;&lt;Q&gt;HCI^FF_DEBT_CF(,12/2020,,,,LOCAL)&lt;/Q&gt;&lt;R&gt;1&lt;/R&gt;&lt;C&gt;1&lt;/C&gt;&lt;D xsi:type="xsd:double"&gt;2.328&lt;/D&gt;&lt;/FQL&gt;&lt;FQL&gt;&lt;Q&gt;HCI^FF_DEBT_CF(,12/2021,,,,LOCAL)&lt;/Q&gt;&lt;R&gt;1&lt;/R&gt;&lt;C&gt;1&lt;/C&gt;&lt;D xsi:type="xsd:double"&gt;-9.72&lt;/D&gt;&lt;/FQL&gt;&lt;FQL&gt;&lt;Q&gt;HCI^FF_DEBT_CF(,12/2022,,,,LOCAL)&lt;/Q&gt;&lt;R&gt;1&lt;/R&gt;&lt;C&gt;1&lt;/C&gt;&lt;D xsi:type="xsd:double"&gt;150.45&lt;/D&gt;&lt;/FQL&gt;&lt;FQL&gt;&lt;Q&gt;HCI^FF_STK_CHG_CF(,12/2012,,,,LOCAL)&lt;/Q&gt;&lt;R&gt;1&lt;/R&gt;&lt;C&gt;1&lt;/C&gt;&lt;D xsi:type="xsd:double"&gt;32.234&lt;/D&gt;&lt;/FQL&gt;&lt;FQL&gt;&lt;Q&gt;HCI^FF_STK_CHG_CF(,12/2013,,,,LOCAL)&lt;/Q&gt;&lt;R&gt;1&lt;/R&gt;&lt;C&gt;1&lt;/C&gt;&lt;D xsi:type="xsd:double"&gt;-30.886&lt;/D&gt;&lt;/FQL&gt;&lt;FQL&gt;&lt;Q&gt;HCI^FF_STK_CHG_CF(,12/2014,,,,LOCAL)&lt;/Q&gt;&lt;R&gt;1&lt;/R&gt;&lt;C&gt;1&lt;/C&gt;&lt;D xsi:type="xsd:double"&gt;-38.906&lt;/D&gt;&lt;/FQL&gt;&lt;FQL&gt;&lt;Q&gt;HCI^FF_STK_CHG_CF(,12/2015,,,,LOCAL)&lt;/Q&gt;&lt;R&gt;1&lt;/R&gt;&lt;C&gt;1&lt;/C&gt;&lt;D xsi:type="xsd:double"&gt;-2.139&lt;/D&gt;&lt;/FQL&gt;&lt;FQL&gt;&lt;Q&gt;HCI^FF_STK_CHG_CF(,12/2016,,,,LOCAL)&lt;/Q&gt;&lt;R&gt;1&lt;/R&gt;&lt;C&gt;1&lt;/C&gt;&lt;D xsi:type="xsd:double"&gt;-20.34&lt;/D&gt;&lt;/FQL&gt;&lt;FQL&gt;&lt;Q&gt;HCI^FF_STK_CHG_CF(,12/2017,,,,LOCAL)&lt;/Q&gt;&lt;R&gt;1&lt;/R&gt;&lt;C&gt;1&lt;/C&gt;&lt;D xsi:type="xsd:double"&gt;-45.797&lt;/D&gt;&lt;/FQL&gt;&lt;FQL&gt;&lt;Q&gt;HCI^FF_STK_CHG_CF(,12/2018,,,,LOCAL)&lt;/Q&gt;&lt;R&gt;1&lt;/R&gt;&lt;C&gt;1&lt;/C&gt;&lt;D xsi:type="xsd:double"&gt;-21.166&lt;/D&gt;&lt;/FQL&gt;&lt;FQL&gt;&lt;Q&gt;HCI^FF_STK_CHG_CF(,12/2019,,,,LOCAL)&lt;</t>
        </r>
      </text>
    </comment>
    <comment ref="A4" authorId="0" shapeId="0" xr:uid="{415017BD-6A04-4539-8893-40C695B39D61}">
      <text>
        <r>
          <rPr>
            <b/>
            <sz val="9"/>
            <color indexed="81"/>
            <rFont val="Tahoma"/>
            <family val="2"/>
          </rPr>
          <t>/Q&gt;&lt;R&gt;1&lt;/R&gt;&lt;C&gt;1&lt;/C&gt;&lt;D xsi:type="xsd:double"&gt;-19.991&lt;/D&gt;&lt;/FQL&gt;&lt;FQL&gt;&lt;Q&gt;HCI^FF_STK_CHG_CF(,12/2020,,,,LOCAL)&lt;/Q&gt;&lt;R&gt;1&lt;/R&gt;&lt;C&gt;1&lt;/C&gt;&lt;D xsi:type="xsd:double"&gt;-6.645&lt;/D&gt;&lt;/FQL&gt;&lt;FQL&gt;&lt;Q&gt;HCI^FF_STK_CHG_CF(,12/2021,,,,LOCAL)&lt;/Q&gt;&lt;R&gt;1&lt;/R&gt;&lt;C&gt;1&lt;/C&gt;&lt;D xsi:type="xsd:double"&gt;-1.314&lt;/D&gt;&lt;/FQL&gt;&lt;FQL&gt;&lt;Q&gt;HCI^FF_STK_CHG_CF(,12/2022,,,,LOCAL)&lt;/Q&gt;&lt;R&gt;1&lt;/R&gt;&lt;C&gt;1&lt;/C&gt;&lt;D xsi:type="xsd:double"&gt;-88.312&lt;/D&gt;&lt;/FQL&gt;&lt;FQL&gt;&lt;Q&gt;HCI^FF_FIN_ACTIV_OTH_CF(,12/2012,,,,LOCAL)&lt;/Q&gt;&lt;R&gt;1&lt;/R&gt;&lt;C&gt;1&lt;/C&gt;&lt;D xsi:type="xsd:double"&gt;1.161&lt;/D&gt;&lt;/FQL&gt;&lt;FQL&gt;&lt;Q&gt;HCI^FF_FIN_ACTIV_OTH_CF(,12/2013,,,,LOCAL)&lt;/Q&gt;&lt;R&gt;1&lt;/R&gt;&lt;C&gt;1&lt;/C&gt;&lt;D xsi:type="xsd:double"&gt;1.06&lt;/D&gt;&lt;/FQL&gt;&lt;FQL&gt;&lt;Q&gt;HCI^FF_FIN_ACTIV_OTH_CF(,12/2014,,,,LOCAL)&lt;/Q&gt;&lt;R&gt;1&lt;/R&gt;&lt;C&gt;1&lt;/C&gt;&lt;D xsi:type="xsd:double"&gt;2.08&lt;/D&gt;&lt;/FQL&gt;&lt;FQL&gt;&lt;Q&gt;HCI^FF_FIN_ACTIV_OTH_CF(,12/2015,,,,LOCAL)&lt;/Q&gt;&lt;R&gt;1&lt;/R&gt;&lt;C&gt;1&lt;/C&gt;&lt;D xsi:type="xsd:double"&gt;2.295&lt;/D&gt;&lt;/FQL&gt;&lt;FQL&gt;&lt;Q&gt;HCI^FF_FIN_ACTIV_OTH_CF(,12/2016,,,,LOCAL)&lt;/Q&gt;&lt;R&gt;1&lt;/R&gt;&lt;C&gt;1&lt;/C&gt;&lt;D xsi:type="xsd:double"&gt;0.641&lt;/D&gt;&lt;/FQL&gt;&lt;FQL&gt;&lt;Q&gt;HCI^FF_FIN_ACTIV_OTH_CF(,12/2017,,,,LOCAL)&lt;/Q&gt;&lt;R&gt;1&lt;/R&gt;&lt;C&gt;1&lt;/C&gt;&lt;D xsi:type="xsd:double"&gt;0&lt;/D&gt;&lt;/FQL&gt;&lt;FQL&gt;&lt;Q&gt;HCI^FF_FIN_ACTIV_OTH_CF(,12/2018,,,,LOCAL)&lt;/Q&gt;&lt;R&gt;1&lt;/R&gt;&lt;C&gt;1&lt;/C&gt;&lt;D xsi:type="xsd:double"&gt;0&lt;/D&gt;&lt;/FQL&gt;&lt;FQL&gt;&lt;Q&gt;HCI^FF_FIN_ACTIV_OTH_CF(,12/2019,,,,LOCAL)&lt;/Q&gt;&lt;R&gt;1&lt;/R&gt;&lt;C&gt;1&lt;/C&gt;&lt;D xsi:type="xsd:double"&gt;0&lt;/D&gt;&lt;/FQL&gt;&lt;FQL&gt;&lt;Q&gt;HCI^FF_FIN_ACTIV_OTH_CF(,12/2020,,,,LOCAL)&lt;/Q&gt;&lt;R&gt;1&lt;/R&gt;&lt;C&gt;1&lt;/C&gt;&lt;D xsi:type="xsd:double"&gt;0&lt;/D&gt;&lt;/FQL&gt;&lt;FQL&gt;&lt;Q&gt;HCI^FF_FIN_ACTIV_OTH_CF(,12/2021,,,,LOCAL)&lt;/Q&gt;&lt;R&gt;1&lt;/R&gt;&lt;C&gt;1&lt;/C&gt;&lt;D xsi:type="xsd:double"&gt;-2.542&lt;/D&gt;&lt;/FQL&gt;&lt;FQL&gt;&lt;Q&gt;HCI^FF_FIN_ACTIV_OTH_CF(,12/2022,,,,LOCAL)&lt;/Q&gt;&lt;R&gt;1&lt;/R&gt;&lt;C&gt;1&lt;/C&gt;&lt;D xsi:type="xsd:double"&gt;-5.508&lt;/D&gt;&lt;/FQL&gt;&lt;FQL&gt;&lt;Q&gt;HCI^FF_FIN_CF(,12/2012,,,,LOCAL)&lt;/Q&gt;&lt;R&gt;1&lt;/R&gt;&lt;C&gt;1&lt;/C&gt;&lt;D xsi:type="xsd:double"&gt;24.799&lt;/D&gt;&lt;/FQL&gt;&lt;FQL&gt;&lt;Q&gt;HCI^FF_FIN_CF(,12/2013,,,,LOCAL)&lt;/Q&gt;&lt;R&gt;1&lt;/R&gt;&lt;C&gt;1&lt;/C&gt;&lt;D xsi:type="xsd:double"&gt;97.752&lt;/D&gt;&lt;/FQL&gt;&lt;FQL&gt;&lt;Q&gt;HCI^FF_FIN_CF(,12/2014,,,,LOCAL)&lt;/Q&gt;&lt;R&gt;1&lt;/R&gt;&lt;C&gt;1&lt;/C&gt;&lt;D xsi:type="xsd:double"&gt;-49.415&lt;/D&gt;&lt;/FQL&gt;&lt;FQL&gt;&lt;Q&gt;HCI^FF_FIN_CF(,12/2015,,,,LOCAL)&lt;/Q&gt;&lt;R&gt;1&lt;/R&gt;&lt;C&gt;1&lt;/C&gt;&lt;D xsi:type="xsd:double"&gt;-12.272&lt;/D&gt;&lt;/FQL&gt;&lt;FQL&gt;&lt;Q&gt;HCI^FF_FIN_CF(,12/2016,,,,LOCAL)&lt;/Q&gt;&lt;R&gt;1&lt;/R&gt;&lt;C&gt;1&lt;/C&gt;&lt;D xsi:type="xsd:double"&gt;-24.84&lt;/D&gt;&lt;/FQL&gt;&lt;FQL&gt;&lt;Q&gt;HCI^FF_FIN_CF(,12/2017,,,,LOCAL)&lt;/Q&gt;&lt;R&gt;1&lt;/R&gt;&lt;C&gt;1&lt;/C&gt;&lt;D xsi:type="xsd:double"&gt;37.957&lt;/D&gt;&lt;/FQL&gt;&lt;FQL&gt;&lt;Q&gt;HCI^FF_FIN_CF(,12/2018,,,,LOCAL)&lt;/Q&gt;&lt;R&gt;1&lt;/R&gt;&lt;C&gt;1&lt;/C&gt;&lt;D xsi:type="xsd:double"&gt;-27.716&lt;/D&gt;&lt;/FQL&gt;&lt;FQL&gt;&lt;Q&gt;HCI^FF_FIN_CF(,12/2019,,,,LOCAL)&lt;/Q&gt;&lt;R&gt;1&lt;/R&gt;&lt;C&gt;1&lt;/C&gt;&lt;D xsi:type="xsd:double"&gt;-115.03&lt;/D&gt;&lt;/FQL&gt;&lt;FQL&gt;&lt;Q&gt;HCI^FF_FIN_CF(,12/2020,,,,LOCAL)&lt;/Q&gt;&lt;R&gt;1&lt;/R&gt;&lt;C&gt;1&lt;/C&gt;&lt;D xsi:type="xsd:double"&gt;-17.011&lt;/D&gt;&lt;/FQL&gt;&lt;FQL&gt;&lt;Q&gt;HCI^FF_FIN_CF(,12/2021,,,,LOCAL)&lt;/Q&gt;&lt;R&gt;1&lt;/R&gt;&lt;C&gt;1&lt;/C&gt;&lt;D xsi:type="xsd:double"&gt;-29.688&lt;/D&gt;&lt;/FQL&gt;&lt;FQL&gt;&lt;Q&gt;HCI^FF_FIN_CF(,12/2022,,,,LOCAL)&lt;/Q&gt;&lt;R&gt;1&lt;/R&gt;&lt;C&gt;1&lt;/C&gt;&lt;D xsi:type="xsd:double"&gt;41.397&lt;/D&gt;&lt;/FQL&gt;&lt;FQL&gt;&lt;Q&gt;HCI^FF_FOR_EXCH_CF(,12/2012,,,,LOCAL)&lt;/Q&gt;&lt;R&gt;1&lt;/R&gt;&lt;C&gt;1&lt;/C&gt;&lt;D xsi:type="xsd:double"&gt;0.005&lt;/D&gt;&lt;/FQL&gt;&lt;FQL&gt;&lt;Q&gt;HCI^FF_FOR_EXCH_CF(,12/2013,,,,LOCAL)&lt;/Q&gt;&lt;R&gt;0&lt;/R&gt;&lt;C&gt;0&lt;/C&gt;&lt;/FQL&gt;&lt;FQL&gt;&lt;Q&gt;HCI^FF_FOR_EXCH_CF(,12/2014,,,,LOCAL)&lt;/Q&gt;&lt;R&gt;1&lt;/R&gt;&lt;C&gt;1&lt;/C&gt;&lt;D xsi:type="xsd:double"&gt;-0.029&lt;/D&gt;&lt;/FQL&gt;&lt;FQL&gt;&lt;Q&gt;HCI^FF_FOR_EXCH_CF(,12/2015,,,,LOCAL)&lt;/Q&gt;&lt;R&gt;1&lt;/R&gt;&lt;C&gt;1&lt;/C&gt;&lt;D xsi:type="xsd:double"&gt;-0.061&lt;/D&gt;&lt;/FQL&gt;&lt;FQL&gt;&lt;Q&gt;HCI^FF_FOR_EXCH_CF(,12/2016,,,,LOCAL)&lt;/Q&gt;&lt;R&gt;1&lt;/R&gt;&lt;C&gt;1&lt;/C&gt;&lt;D xsi:type="xsd:double"&gt;0.003&lt;/D&gt;&lt;/FQL&gt;&lt;FQL&gt;&lt;Q&gt;HCI^FF_FOR_EXCH_CF(,12/2017,,,,LOCAL)&lt;/Q&gt;&lt;R&gt;1&lt;/R&gt;&lt;C&gt;1&lt;/C&gt;&lt;D xsi:type="xsd:double"&gt;0.061&lt;/D&gt;&lt;/FQL&gt;&lt;FQL&gt;&lt;Q&gt;HCI^FF_FOR_EXCH_CF(,12/2018,,,,LOCAL)&lt;/Q&gt;&lt;R&gt;1&lt;/R&gt;&lt;C&gt;1&lt;/C&gt;&lt;D xsi:type="xsd:double"&gt;-0.164&lt;/D&gt;&lt;/FQL&gt;&lt;FQL&gt;&lt;Q&gt;HCI^FF_FOR_EXCH_CF(,12/2019,,,,LOCAL)&lt;/Q&gt;&lt;R&gt;1&lt;/R&gt;&lt;C&gt;1&lt;/C&gt;&lt;D xsi:type="xsd:double"&gt;-0.022&lt;/D&gt;&lt;/FQL&gt;&lt;FQL&gt;&lt;Q&gt;HCI^FF_FOR_EXCH_CF(,12/2020,,,,LOCAL)&lt;/Q&gt;&lt;R&gt;1&lt;/R&gt;&lt;C&gt;1&lt;/C&gt;&lt;D xsi:type="xsd:double"&gt;0.002&lt;/D&gt;&lt;/FQL&gt;&lt;FQL&gt;&lt;Q&gt;HCI^FF_FOR_EXCH_CF(,12/2021,,,,LOCAL)&lt;/Q&gt;&lt;R&gt;1&lt;/R&gt;&lt;C&gt;1&lt;/C&gt;&lt;D xsi:type="xsd:double"&gt;-0.054&lt;/D&gt;&lt;/FQL&gt;&lt;FQL&gt;&lt;Q&gt;HCI^FF_FOR_EXCH_CF(,12/2022,,,,LOCAL)&lt;/Q&gt;&lt;R&gt;1&lt;/R&gt;&lt;C&gt;1&lt;/C&gt;&lt;D xsi:type="xsd:double"&gt;-0.098&lt;/D&gt;&lt;/FQL&gt;&lt;FQL&gt;&lt;Q&gt;HCI^FF_CHG_CASH_CF(,12/2012,,,,LOCAL)&lt;/Q&gt;&lt;R&gt;1&lt;/R&gt;&lt;C&gt;1&lt;/C&gt;&lt;D xsi:type="xsd:double"&gt;129.859&lt;/D&gt;&lt;/FQL&gt;&lt;FQL&gt;&lt;Q&gt;HCI^FF_CHG_CASH_CF(,12/2013,,,,LOCAL)&lt;/Q&gt;&lt;R&gt;1&lt;/R&gt;&lt;C&gt;1&lt;/C&gt;&lt;D xsi:type="xsd:double"&gt;63.184&lt;/D&gt;&lt;/FQL&gt;&lt;FQL&gt;&lt;Q&gt;HCI^FF_CHG_CASH_CF(,12/2014,,,,LOCAL)&lt;/Q&gt;&lt;R&gt;1&lt;/R&gt;&lt;C&gt;1&lt;/C&gt;&lt;D xsi:type="xsd:double"&gt;21.318&lt;/D&gt;&lt;/FQL&gt;&lt;FQL&gt;&lt;Q&gt;HCI^FF_CHG_CASH_CF(,12/2015,,,,LOCAL)&lt;/Q&gt;&lt;R&gt;1&lt;/R&gt;&lt;C&gt;1&lt;/C&gt;&lt;D xsi:type="xsd:double"&gt;-46.678&lt;/D&gt;&lt;/FQL&gt;&lt;FQL&gt;&lt;Q&gt;HCI^FF_CHG_CASH_CF(,12/2016,,,,LOCAL)&lt;/Q&gt;&lt;R&gt;1&lt;/R&gt;&lt;C&gt;1&lt;/C&gt;&lt;D xsi:type="xsd:double"&gt;12.793&lt;/D&gt;&lt;/FQL&gt;&lt;FQL&gt;&lt;Q&gt;HCI^FF_CHG_CASH_CF(,12/2017,,,,LOCAL)&lt;/Q&gt;&lt;R&gt;1&lt;/R&gt;&lt;C&gt;1&lt;/C&gt;&lt;D xsi:type="xsd:double"&gt;-24.647&lt;/D&gt;&lt;/FQL&gt;&lt;FQL&gt;&lt;Q&gt;HCI^FF_CHG_CASH_CF(,12/2018,,,,LOCAL)&lt;/Q&gt;&lt;R&gt;1&lt;/R&gt;&lt;C&gt;1&lt;/C&gt;&lt;D xsi:type="xsd:double"&gt;-16.535&lt;/D&gt;&lt;/FQL&gt;&lt;FQL&gt;&lt;Q&gt;HCI^FF_CHG_CASH_CF(,12/2019,,,,LOCAL)&lt;/Q&gt;&lt;R&gt;1&lt;/R&gt;&lt;C&gt;1&lt;/C&gt;&lt;D xsi:type="xsd:double"&gt;-10.24&lt;/D&gt;&lt;/FQL&gt;&lt;FQL&gt;&lt;Q&gt;HCI^FF_CHG_CASH_CF(,12/2020,,,,LOCAL)&lt;/Q&gt;&lt;R&gt;1&lt;/R&gt;&lt;C&gt;1&lt;/C&gt;&lt;D xsi:type="xsd:double"&gt;203.823&lt;/D&gt;&lt;/FQL&gt;&lt;FQL&gt;&lt;Q&gt;HCI^FF_CHG_CASH_CF(,12/2021,,,,LOCAL)&lt;/Q&gt;&lt;R&gt;1&lt;/R&gt;&lt;C&gt;1&lt;/C&gt;&lt;D xsi:type="xsd:double"&gt;197.602&lt;/D&gt;&lt;/FQL&gt;&lt;FQL&gt;&lt;Q&gt;HCI^FF_CHG_CASH_CF(,12/2022,,,,LOCAL)&lt;/Q&gt;&lt;R&gt;1&lt;/R&gt;&lt;C&gt;1&lt;/C&gt;&lt;D xsi:type="xsd:double"&gt;-393.58&lt;/D&gt;&lt;/FQL&gt;&lt;FQL&gt;&lt;Q&gt;HCI^FF_FREE_CF(,12/2012,,,,LOCAL)&lt;/Q&gt;&lt;R&gt;1&lt;/R&gt;&lt;C&gt;1&lt;/C&gt;&lt;D xsi:type="xsd:double"&gt;96.509&lt;/D&gt;&lt;/FQL&gt;&lt;FQL&gt;&lt;Q&gt;HCI^FF_FREE_CF(,12/2013,,,,LOCAL)&lt;/Q&gt;&lt;R&gt;1&lt;/R&gt;&lt;C&gt;1&lt;/C&gt;&lt;D xsi:type="xsd:double"&gt;41.137&lt;/D&gt;&lt;/FQL&gt;&lt;FQL&gt;&lt;Q&gt;HCI^FF_FREE_CF(,12/2014,,,,LOCAL)&lt;/Q&gt;&lt;R&gt;1&lt;/R&gt;&lt;C&gt;1&lt;/C&gt;&lt;D xsi:type="xsd:double"&gt;76.606&lt;/D&gt;&lt;/FQL&gt;&lt;FQL&gt;&lt;Q&gt;HCI^FF_FREE_CF(,12/2015,,,,LOCAL)&lt;/Q&gt;&lt;R&gt;1&lt;/R&gt;&lt;C&gt;1&lt;/C&gt;&lt;D xsi:type="xsd:double"&gt;32.761&lt;/D&gt;&lt;/FQL&gt;&lt;FQL&gt;&lt;Q&gt;HCI^FF_FREE_CF(,12/2016,,,,LOCAL)&lt;/Q&gt;&lt;R&gt;1&lt;/R&gt;&lt;C&gt;1&lt;/C&gt;&lt;D xsi:type="xsd:double"&gt;75.419&lt;/D&gt;&lt;/FQL&gt;&lt;FQL&gt;&lt;Q&gt;HCI^FF_FREE_CF(,12/2017,,,,LOCAL)&lt;/Q&gt;&lt;R&gt;1&lt;/R&gt;&lt;C&gt;1&lt;/C&gt;&lt;D xsi:type="xsd:double"&gt;13.428&lt;/D&gt;&lt;/FQL&gt;&lt;FQL&gt;&lt;Q&gt;HCI^FF_FREE_CF(,12/2018,,,,LOCAL)&lt;/Q&gt;&lt;R&gt;1&lt;/R&gt;&lt;C&gt;1&lt;/C&gt;&lt;D xsi:type="xsd:double"&gt;16.91&lt;/D&gt;&lt;/FQL&gt;&lt;FQL&gt;&lt;Q&gt;HCI^FF_FREE_CF(,12/2019,,,,LOCAL)&lt;/Q&gt;&lt;R&gt;1&lt;/R&gt;&lt;C&gt;1&lt;/C&gt;&lt;D xsi:type="xsd:double"&gt;40.575&lt;/D&gt;&lt;/FQL&gt;&lt;FQL&gt;&lt;Q&gt;HCI^FF_FREE_CF(,12/2020,,,,LOCAL)&lt;/Q&gt;&lt;R&gt;1&lt;/R&gt;&lt;C&gt;1&lt;/C&gt;&lt;D xsi:type="xsd:double"&gt;60.572&lt;/D&gt;&lt;/FQL&gt;&lt;FQL&gt;&lt;Q&gt;HCI^FF_FREE_CF(,12/2021,,,,LOCAL)&lt;/Q&gt;&lt;R&gt;1&lt;/R&gt;&lt;C&gt;1&lt;/C&gt;&lt;D xsi:type="xsd:double"&gt;84.706&lt;/D&gt;&lt;/FQL&gt;&lt;FQL&gt;&lt;Q&gt;HCI^FF_FREE_CF(,12/2022,,,,LOCAL)&lt;/Q&gt;&lt;R&gt;1&lt;/R&gt;&lt;C&gt;1&lt;/C&gt;&lt;D xsi:type="xsd:double"&gt;-15.799&lt;/D&gt;&lt;/FQL&gt;&lt;FQL&gt;&lt;Q&gt;HCI^FF_FREE_PS_CF(,12/2012,,,,LOCAL)&lt;/Q&gt;&lt;R&gt;1&lt;/R&gt;&lt;C&gt;1&lt;/C&gt;&lt;D xsi:type="xsd:double"&gt;9.83481096504637&lt;/D&gt;&lt;/FQL&gt;&lt;FQL&gt;&lt;Q&gt;HCI^FF_FREE_PS_CF(,12/2013,,,,LOCAL)&lt;/Q&gt;&lt;R&gt;1&lt;/R&gt;&lt;C&gt;1&lt;/C&gt;&lt;D xsi:type="xsd:double"&gt;3.69870526883654&lt;/D&gt;&lt;/FQL&gt;&lt;FQL&gt;&lt;Q&gt;HCI^FF_FREE_PS_CF(,12/2014,,,,LOCAL)&lt;/Q&gt;&lt;R&gt;1&lt;/R&gt;&lt;C&gt;1&lt;/C&gt;&lt;D xsi:type="xsd:double"&gt;6.55088079356935&lt;/D&gt;&lt;/FQL&gt;&lt;FQL&gt;&lt;Q&gt;HCI^FF_FREE_PS_CF(,12/2015,,,,LOCAL)&lt;/Q&gt;&lt;R&gt;1&lt;/R&gt;&lt;C&gt;1&lt;/C&gt;&lt;D xsi:type="xsd:double"&gt;2.88516072214883&lt;/D&gt;&lt;/FQL&gt;&lt;FQL&gt;&lt;Q&gt;HCI^FF_FREE_PS_CF(,12/2016,,,,LOCAL)&lt;/Q&gt;&lt;R&gt;1&lt;/R&gt;&lt;C&gt;1&lt;/C&gt;&lt;D xsi:type="xsd:double"&gt;6.93635611146878&lt;/D&gt;&lt;/FQL&gt;&lt;FQL&gt;&lt;Q&gt;HCI^FF_FREE_PS_CF(,12/2017,,,,LOCAL)&lt;/Q&gt;&lt;R&gt;1&lt;/R&gt;&lt;C&gt;1&lt;/C&gt;&lt;D xsi:type="xsd:double"&gt;1.56905819116616&lt;/D&gt;&lt;/FQL&gt;&lt;FQL&gt;&lt;Q&gt;HCI^FF_FREE_PS_CF(,12/2018,,,,LOCAL)&lt;/Q&gt;&lt;R&gt;1&lt;/R&gt;&lt;C&gt;1&lt;/C&gt;&lt;D xsi:type="xsd:double"&gt;2.1418619379354&lt;/D&gt;&lt;/FQL&gt;&lt;FQL&gt;&lt;Q&gt;HCI^FF_FREE_PS_CF(,12/2019,,,,LOCAL)&lt;/Q&gt;&lt;R&gt;1&lt;/R&gt;&lt;C&gt;1&lt;/C&gt;&lt;D xsi:type="xsd:double"&gt;3.96317640164095&lt;/D&gt;&lt;/FQL&gt;&lt;FQL&gt;&lt;Q&gt;HCI^FF_FREE_PS_CF(,12/2020,,,,LOCAL)&lt;/Q&gt;&lt;R&gt;1&lt;/R&gt;&lt;C&gt;1&lt;/C&gt;&lt;D xsi:type="xsd:double"&gt;6.24840107282855&lt;/D&gt;&lt;/FQL&gt;&lt;FQL&gt;&lt;Q&gt;HCI^FF_FREE_PS_CF(,12/2021,,,,LOCAL)&lt;/Q&gt;&lt;R&gt;1&lt;/R&gt;&lt;C&gt;1&lt;/C&gt;&lt;D xsi:type="xsd:double"&gt;9.87249417249417&lt;/D&gt;&lt;/FQL&gt;&lt;FQL&gt;&lt;Q&gt;HCI^FF_FREE_PS_CF(,12/2022,,,,LOCAL)&lt;/Q&gt;&lt;R&gt;1&lt;/R&gt;&lt;C&gt;1&lt;/C&gt;&lt;D xsi:type="xsd:double"&gt;-1.79187932403312&lt;/D&gt;&lt;/FQL&gt;&lt;FQL&gt;&lt;Q&gt;HCI^FF_FCF_YLD(,12/2012,,,,LOCAL)&lt;/Q&gt;&lt;R&gt;1&lt;/R&gt;&lt;C&gt;1&lt;/C&gt;&lt;D xsi:type="xsd:double"&gt;47.3054880473611&lt;/D&gt;&lt;/FQL&gt;&lt;FQL&gt;&lt;Q&gt;HCI^FF_FCF_YLD(,12/2013,,,,LOCAL)&lt;/Q&gt;&lt;R&gt;1&lt;/R&gt;&lt;C&gt;1&lt;/C&gt;&lt;D xsi:type="xsd:double"&gt;6.91346779221783&lt;/D&gt;&lt;/FQL&gt;&lt;FQL&gt;&lt;Q&gt;HCI^FF_FCF_YLD(,12/2014,,,,LOCAL)&lt;/Q&gt;&lt;R&gt;1&lt;/R&gt;&lt;C&gt;1&lt;/C&gt;&lt;D xsi:type="xsd:double"&gt;15.1500480887358&lt;/D&gt;&lt;/FQL&gt;&lt;FQL&gt;&lt;Q&gt;HCI^FF_FCF_YLD(,12/2015,,,,LOCAL)&lt;/Q&gt;&lt;R&gt;1&lt;/R&gt;&lt;C&gt;1&lt;/C&gt;&lt;D xsi:type="xsd:double"&gt;8.27879690717025&lt;/D&gt;&lt;/FQL&gt;&lt;FQL&gt;&lt;Q&gt;HCI^FF_FCF_YLD(,12/2016,,,,LOCAL)&lt;/Q&gt;&lt;R&gt;1&lt;/R&gt;&lt;C&gt;1&lt;/C&gt;&lt;D xsi:type="xsd:double"&gt;17.5692910624842&lt;/D&gt;&lt;/FQL&gt;&lt;FQL&gt;&lt;Q&gt;HCI^FF_FCF_YLD(,12/2017,,,,LOCAL)&lt;/Q&gt;&lt;R&gt;1&lt;/R&gt;&lt;C&gt;1&lt;/C&gt;&lt;D xsi:type="xsd:double"&gt;5.2476862580808&lt;/D&gt;&lt;/FQL&gt;&lt;FQL&gt;&lt;Q&gt;HCI^FF_FCF_YLD(,12/2018,,,,LOCAL)&lt;/Q&gt;&lt;R&gt;1&lt;/R&gt;&lt;C&gt;1&lt;/C&gt;&lt;D xsi:type="xsd:double"&gt;4.21543384754065&lt;/D&gt;&lt;/FQL&gt;&lt;FQL&gt;&lt;Q&gt;HCI^FF_FCF_YLD(,12/2019,,,,LOCAL)&lt;/Q&gt;&lt;R&gt;1&lt;/R&gt;&lt;C&gt;1&lt;/C&gt;&lt;D xsi:type="xsd:double"&gt;8.68165695868773&lt;/D&gt;&lt;/FQL&gt;&lt;FQL&gt;&lt;Q&gt;HCI^FF_FCF_YLD(,12/2020,,,,LOCAL)&lt;/Q&gt;&lt;R&gt;1&lt;/R&gt;&lt;C&gt;1&lt;/C&gt;&lt;D xsi:type="xsd:double"&gt;11.9472295847582&lt;/D&gt;&lt;/FQL&gt;&lt;FQL&gt;&lt;Q&gt;HCI^FF_FCF_YLD(,12/2021,,,,LOCAL)&lt;/Q&gt;&lt;R&gt;1&lt;/R&gt;&lt;C&gt;1&lt;/C&gt;&lt;D xsi:type="xsd:double"&gt;11.8176851478264&lt;/D&gt;&lt;/FQL&gt;&lt;FQL&gt;&lt;Q&gt;HCI^FF_FCF_YLD(,12/2022,,,,LOCAL)&lt;/Q&gt;&lt;R&gt;1&lt;/R&gt;&lt;C&gt;1&lt;/C&gt;&lt;D xsi:type="xsd:double"&gt;-4.52609074016953&lt;/D&gt;&lt;/FQL&gt;&lt;/Schema&gt;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Henry</author>
  </authors>
  <commentList>
    <comment ref="A48" authorId="0" shapeId="0" xr:uid="{78F5DAC7-8D0B-4EBD-A613-9B8570A8168C}">
      <text>
        <r>
          <rPr>
            <b/>
            <sz val="9"/>
            <color indexed="81"/>
            <rFont val="Tahoma"/>
            <family val="2"/>
          </rPr>
          <t>Henry:</t>
        </r>
        <r>
          <rPr>
            <sz val="9"/>
            <color indexed="81"/>
            <rFont val="Tahoma"/>
            <family val="2"/>
          </rPr>
          <t xml:space="preserve">
This row reconciles any differences between the Broker's segment breakdown above and the Broker's "Total" revenue below. When there is a large number, investigate the cause.</t>
        </r>
      </text>
    </comment>
    <comment ref="A137" authorId="0" shapeId="0" xr:uid="{13B83FB1-E36A-48BA-A2AD-3ECBAB81B6B4}">
      <text>
        <r>
          <rPr>
            <b/>
            <sz val="9"/>
            <color indexed="81"/>
            <rFont val="Tahoma"/>
            <family val="2"/>
          </rPr>
          <t>Henry:</t>
        </r>
        <r>
          <rPr>
            <sz val="9"/>
            <color indexed="81"/>
            <rFont val="Tahoma"/>
            <family val="2"/>
          </rPr>
          <t xml:space="preserve">
When zeroing out the model, if the FY1 Diluted EPS doesn't equal FY0 - alternate the FactSet code for the EPS variable in the "Broker Actual" worksheet between 'EAG' to 'EPS'.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Henry</author>
  </authors>
  <commentList>
    <comment ref="A48" authorId="0" shapeId="0" xr:uid="{71B40817-97F6-4EA1-BB93-70EC8D916A8A}">
      <text>
        <r>
          <rPr>
            <b/>
            <sz val="9"/>
            <color indexed="81"/>
            <rFont val="Tahoma"/>
            <family val="2"/>
          </rPr>
          <t>Henry:</t>
        </r>
        <r>
          <rPr>
            <sz val="9"/>
            <color indexed="81"/>
            <rFont val="Tahoma"/>
            <family val="2"/>
          </rPr>
          <t xml:space="preserve">
This row reconciles any differences between the Broker's segment breakdown above and the Broker's "Total" revenue below. When there is a large number, investigate the cause.</t>
        </r>
      </text>
    </comment>
    <comment ref="A137" authorId="0" shapeId="0" xr:uid="{A45DB0FE-BB06-45A4-868E-EE58371FC0AB}">
      <text>
        <r>
          <rPr>
            <b/>
            <sz val="9"/>
            <color indexed="81"/>
            <rFont val="Tahoma"/>
            <family val="2"/>
          </rPr>
          <t>Henry:</t>
        </r>
        <r>
          <rPr>
            <sz val="9"/>
            <color indexed="81"/>
            <rFont val="Tahoma"/>
            <family val="2"/>
          </rPr>
          <t xml:space="preserve">
When zeroing out the model, if the FY1 Diluted EPS doesn't equal FY0 - alternate the FactSet code for the EPS variable in the "Broker Actual" worksheet between 'EAG' to 'EPS'.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Henry</author>
  </authors>
  <commentList>
    <comment ref="A48" authorId="0" shapeId="0" xr:uid="{2D7177D3-15E4-47AC-8476-038B2C74F6B6}">
      <text>
        <r>
          <rPr>
            <b/>
            <sz val="9"/>
            <color indexed="81"/>
            <rFont val="Tahoma"/>
            <family val="2"/>
          </rPr>
          <t>Henry:</t>
        </r>
        <r>
          <rPr>
            <sz val="9"/>
            <color indexed="81"/>
            <rFont val="Tahoma"/>
            <family val="2"/>
          </rPr>
          <t xml:space="preserve">
This row reconciles any differences between the Broker's segment breakdown above and the Broker's "Total" revenue below. When there is a large number, investigate the cause.</t>
        </r>
      </text>
    </comment>
    <comment ref="A137" authorId="0" shapeId="0" xr:uid="{E3CB9636-8E5B-4904-8606-FFEDCBDE0A4C}">
      <text>
        <r>
          <rPr>
            <b/>
            <sz val="9"/>
            <color indexed="81"/>
            <rFont val="Tahoma"/>
            <family val="2"/>
          </rPr>
          <t>Henry:</t>
        </r>
        <r>
          <rPr>
            <sz val="9"/>
            <color indexed="81"/>
            <rFont val="Tahoma"/>
            <family val="2"/>
          </rPr>
          <t xml:space="preserve">
When zeroing out the model, if the FY1 Diluted EPS doesn't equal FY0 - alternate the FactSet code for the EPS variable in the "Broker Actual" worksheet between 'EAG' to 'EPS'.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Elvis Presley</author>
  </authors>
  <commentList>
    <comment ref="A1" authorId="0" shapeId="0" xr:uid="{60C6934F-D03B-438F-914C-2700460586AF}">
      <text>
        <r>
          <rPr>
            <b/>
            <sz val="9"/>
            <color indexed="81"/>
            <rFont val="Tahoma"/>
            <family val="2"/>
          </rPr>
          <t>Elvis Presley:</t>
        </r>
        <r>
          <rPr>
            <sz val="9"/>
            <color indexed="81"/>
            <rFont val="Tahoma"/>
            <family val="2"/>
          </rPr>
          <t xml:space="preserve">
Enter Assumptions.
Compute the ROE
To copy for making a financial model.
1. Make sure calculation is OFF
2. Paste special as values until the assumptions section
3. Paste the yellow as values
</t>
        </r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Elvis Presley</author>
  </authors>
  <commentList>
    <comment ref="A1" authorId="0" shapeId="0" xr:uid="{AEAFDB9C-A24C-442D-A771-1426A48208D1}">
      <text>
        <r>
          <rPr>
            <b/>
            <sz val="9"/>
            <color indexed="81"/>
            <rFont val="Tahoma"/>
            <family val="2"/>
          </rPr>
          <t>Elvis Presley:</t>
        </r>
        <r>
          <rPr>
            <sz val="9"/>
            <color indexed="81"/>
            <rFont val="Tahoma"/>
            <family val="2"/>
          </rPr>
          <t xml:space="preserve">
Enter Assumptions.
Compute the ROE
To copy for making a financial model.
1. Make sure calculation is OFF
2. Paste special as values until the assumptions section
3. Paste the yellow as values
</t>
        </r>
      </text>
    </comment>
  </commentList>
</comments>
</file>

<file path=xl/comments7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Elvis Presley</author>
  </authors>
  <commentList>
    <comment ref="A1" authorId="0" shapeId="0" xr:uid="{F527E096-01FF-4B83-836E-6004F800B3C4}">
      <text>
        <r>
          <rPr>
            <b/>
            <sz val="9"/>
            <color indexed="81"/>
            <rFont val="Tahoma"/>
            <family val="2"/>
          </rPr>
          <t>Elvis Presley:</t>
        </r>
        <r>
          <rPr>
            <sz val="9"/>
            <color indexed="81"/>
            <rFont val="Tahoma"/>
            <family val="2"/>
          </rPr>
          <t xml:space="preserve">
Enter Assumptions.
Compute the ROE
To copy for making a financial model.
1. Make sure calculation is OFF
2. Paste special as values until the assumptions section
3. Paste the yellow as values
</t>
        </r>
      </text>
    </comment>
  </commentList>
</comments>
</file>

<file path=xl/comments8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Henry</author>
  </authors>
  <commentList>
    <comment ref="D25" authorId="0" shapeId="0" xr:uid="{65665DC9-A377-43DF-9F77-68F0B3382D00}">
      <text>
        <r>
          <rPr>
            <b/>
            <sz val="9"/>
            <color indexed="81"/>
            <rFont val="Tahoma"/>
            <family val="2"/>
          </rPr>
          <t>Henry:</t>
        </r>
        <r>
          <rPr>
            <sz val="9"/>
            <color indexed="81"/>
            <rFont val="Tahoma"/>
            <family val="2"/>
          </rPr>
          <t xml:space="preserve">
When zeroing out the model, if the FY1 Diluted EPS doesn't equal FY0 - in this cell, alternate this FactSet code for the EPS variable between 'EAG' to 'EPS'.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<sst xmlns="http://schemas.openxmlformats.org/spreadsheetml/2006/main" count="2652" uniqueCount="745">
  <si>
    <t>This sheet contains FactSet XML data for use with this workbook's =FDS codes.  Modifying the worksheet's contents may damage the workbook's =FDS functionality.</t>
  </si>
  <si>
    <t>Data Options</t>
  </si>
  <si>
    <t>Choice "1"</t>
  </si>
  <si>
    <t>Choice "2"</t>
  </si>
  <si>
    <t>Description</t>
  </si>
  <si>
    <t>GAAP/IFRS vs. Adjusted</t>
  </si>
  <si>
    <t>GAAP/IFRS</t>
  </si>
  <si>
    <t>Adjusted</t>
  </si>
  <si>
    <t>By selecting the "Adjusted" option, the adjusted data will appear when available but only if "Includes restatements" is selected below</t>
  </si>
  <si>
    <t>Restated vs. Original</t>
  </si>
  <si>
    <t>Includes restatements</t>
  </si>
  <si>
    <t>Excludes restatements</t>
  </si>
  <si>
    <t>By select the option to "Exclude restatements" the company's original data will appear if a restatement occurred</t>
  </si>
  <si>
    <t>Mean vs. Median estimate</t>
  </si>
  <si>
    <t>MEAN</t>
  </si>
  <si>
    <t>MEDIAN</t>
  </si>
  <si>
    <t>For the forecast periods can be pulled as the "mean" or "median" of all analysts who provide the line item to FactSet</t>
  </si>
  <si>
    <t>Currency</t>
  </si>
  <si>
    <t>The default is local currency</t>
  </si>
  <si>
    <t>"As Reported" vs. "Standardized"</t>
  </si>
  <si>
    <t>Data with a green font is from FactSet's "standardized" database whereas orange is from the "Broker Actuals"</t>
  </si>
  <si>
    <t>HCI</t>
  </si>
  <si>
    <t>LOCAL</t>
  </si>
  <si>
    <t>Green font:</t>
  </si>
  <si>
    <t>GAAP/IFRS data</t>
  </si>
  <si>
    <t>Do not make any changes right of this column</t>
  </si>
  <si>
    <t>Do not remove the text below (they toggle options to the left)</t>
  </si>
  <si>
    <t>Blue #0070C0</t>
  </si>
  <si>
    <t>Orange font:</t>
  </si>
  <si>
    <t>Broker Actual data</t>
  </si>
  <si>
    <t>Identifier</t>
  </si>
  <si>
    <t>Mean</t>
  </si>
  <si>
    <t>Median</t>
  </si>
  <si>
    <t>Data Pulls from FactSet "Standardized" (not as reported by the companies)</t>
  </si>
  <si>
    <t>Blue font:</t>
  </si>
  <si>
    <t>Analyst assumption</t>
  </si>
  <si>
    <t>Incl. restate</t>
  </si>
  <si>
    <t>Excl. restate</t>
  </si>
  <si>
    <t>Black font:</t>
  </si>
  <si>
    <t>Manually entered historical data or formula (don't overwrite)</t>
  </si>
  <si>
    <t>Ann_R</t>
  </si>
  <si>
    <t>Ann</t>
  </si>
  <si>
    <t>All in millions except per share data.</t>
  </si>
  <si>
    <t>-10FY</t>
  </si>
  <si>
    <t>-9FY</t>
  </si>
  <si>
    <t>-8FY</t>
  </si>
  <si>
    <t>-7FY</t>
  </si>
  <si>
    <t>-6FY</t>
  </si>
  <si>
    <t>-5FY</t>
  </si>
  <si>
    <t>-4FY</t>
  </si>
  <si>
    <t>-3FY</t>
  </si>
  <si>
    <t>-2FY</t>
  </si>
  <si>
    <t>-1FY</t>
  </si>
  <si>
    <t>0FY</t>
  </si>
  <si>
    <t>1FY</t>
  </si>
  <si>
    <t>2FY</t>
  </si>
  <si>
    <t>3FY</t>
  </si>
  <si>
    <t>4FY</t>
  </si>
  <si>
    <t>5FY</t>
  </si>
  <si>
    <t>FactSet Database</t>
  </si>
  <si>
    <t>FactSet FE Code</t>
  </si>
  <si>
    <t>Fiscal Period</t>
  </si>
  <si>
    <t>INCOME STATEMENT (always on row 8)</t>
  </si>
  <si>
    <t>Company Specific Revenue Breakdown (manually entered)</t>
  </si>
  <si>
    <t>Date of Hardcoded Revenue and Expenses---&gt;</t>
  </si>
  <si>
    <t>Dec '12</t>
  </si>
  <si>
    <t>Dec '13</t>
  </si>
  <si>
    <t>Dec '14</t>
  </si>
  <si>
    <t>Dec '15</t>
  </si>
  <si>
    <t>Dec '16</t>
  </si>
  <si>
    <t>Dec '17</t>
  </si>
  <si>
    <t>Dec '18</t>
  </si>
  <si>
    <t>Dec '19</t>
  </si>
  <si>
    <t>Dec '20</t>
  </si>
  <si>
    <t>Dec '21</t>
  </si>
  <si>
    <t>Dec '22</t>
  </si>
  <si>
    <t>Policies in Force</t>
  </si>
  <si>
    <t>YoY % change</t>
  </si>
  <si>
    <t>Gross Premiums per Policy in Force</t>
  </si>
  <si>
    <t>Net Premiums per Policy in Force</t>
  </si>
  <si>
    <t>Gross Premiums Earned</t>
  </si>
  <si>
    <t>Premiums Ceded</t>
  </si>
  <si>
    <t>Premiums Ceded as % of Gross Premiums</t>
  </si>
  <si>
    <t>Net Premiums Earned</t>
  </si>
  <si>
    <t>Investment Income &amp; Other Revenues</t>
  </si>
  <si>
    <t>`</t>
  </si>
  <si>
    <t>Total Segment Revenue</t>
  </si>
  <si>
    <t>YoY Change</t>
  </si>
  <si>
    <t>Difference between Segment and Broker Actual Revenue</t>
  </si>
  <si>
    <t>As a percentage of revenue</t>
  </si>
  <si>
    <t>Broker Actual Total Revenue</t>
  </si>
  <si>
    <t>FE_ESTIMATE</t>
  </si>
  <si>
    <t>SALES</t>
  </si>
  <si>
    <t>Company Specific Expense Breakdown (manually entered)</t>
  </si>
  <si>
    <t>Losses and Loss Adjustments</t>
  </si>
  <si>
    <t>Losses and Loss Adjustments as a % of Revenue</t>
  </si>
  <si>
    <t>YoY % Change (Loss and Loss Adjustments)</t>
  </si>
  <si>
    <t>YoY % Change</t>
  </si>
  <si>
    <t>Losses and Loss Adjustments per Policy in Force (Actual $)</t>
  </si>
  <si>
    <t>Policy Acquisition and Underwriting Expenses</t>
  </si>
  <si>
    <t>YoY % Change (Policy Acquisition and Underwriting Expenses)</t>
  </si>
  <si>
    <t>Policy Acquisition and Underwriting Expenses as a % of Net Premiums Earned</t>
  </si>
  <si>
    <t>Policy Acquisition and Underwriting Expenses per Policy in Force (Actual $)</t>
  </si>
  <si>
    <t>Salaries, Wages, and Administrative Personnel Expenses</t>
  </si>
  <si>
    <t>YoY % Change (Salaries, Wages, and Administrative Personnel Expenses)</t>
  </si>
  <si>
    <t>Salaries, Wages, and Administrative Personnel Expenses per Policy in Force (Acutal $)</t>
  </si>
  <si>
    <t>Other Operating Income / Expense</t>
  </si>
  <si>
    <t>Combined Ratio</t>
  </si>
  <si>
    <t>Total Expenses from breakdown above</t>
  </si>
  <si>
    <t>Operating Income</t>
  </si>
  <si>
    <t>EBIT</t>
  </si>
  <si>
    <t>Operating Margin</t>
  </si>
  <si>
    <t>YoY Change (Point)</t>
  </si>
  <si>
    <t>Implied Interest Rate</t>
  </si>
  <si>
    <t>Imputed Interest Expenses (from the BS)</t>
  </si>
  <si>
    <t>Interest Expense, Net</t>
  </si>
  <si>
    <t>INT_EXP</t>
  </si>
  <si>
    <t>Non-Op. Income (Expense)</t>
  </si>
  <si>
    <t>Unusual Expense</t>
  </si>
  <si>
    <t>Pre-Tax Income Plug Figure to reconcile Broker Actuals</t>
  </si>
  <si>
    <t>Pretax Income (Loss)</t>
  </si>
  <si>
    <t>PTX_INC</t>
  </si>
  <si>
    <t>Income Taxes</t>
  </si>
  <si>
    <t>TAX_EXPENSE</t>
  </si>
  <si>
    <t>Tax Rate (based on GAAP)</t>
  </si>
  <si>
    <t>Net Income Plug Figure to reconcile Broker Actuals</t>
  </si>
  <si>
    <t>Net Income</t>
  </si>
  <si>
    <t>NET_INC</t>
  </si>
  <si>
    <t>Assumed P/E ratio</t>
  </si>
  <si>
    <t>Assumed Stock Price</t>
  </si>
  <si>
    <t>Assumed Shares Repurchased</t>
  </si>
  <si>
    <t>Imputed Diluted Weighted Avg Shares</t>
  </si>
  <si>
    <t>Diluted Weighted Avg Shares Outstanding</t>
  </si>
  <si>
    <t>Diluted Earnings Per Share (EPS)</t>
  </si>
  <si>
    <t>BALANCE SHEET (always on row 150)</t>
  </si>
  <si>
    <t>Cash &amp; Equivalents</t>
  </si>
  <si>
    <t>Accounts Receivable</t>
  </si>
  <si>
    <t>As a % of Revenue</t>
  </si>
  <si>
    <t>Inventories</t>
  </si>
  <si>
    <t>INVENTORIES</t>
  </si>
  <si>
    <t>Current Assets</t>
  </si>
  <si>
    <t>CURRENT_ASSETS</t>
  </si>
  <si>
    <t>PP&amp;E</t>
  </si>
  <si>
    <t>Intangibles</t>
  </si>
  <si>
    <t>Total Assets</t>
  </si>
  <si>
    <t>Accounts Payable</t>
  </si>
  <si>
    <t>Current Liabilities</t>
  </si>
  <si>
    <t>CURRENT_LIABILITIES</t>
  </si>
  <si>
    <t>Short Term Debt</t>
  </si>
  <si>
    <t>Long Term Debt</t>
  </si>
  <si>
    <t>Total Debt</t>
  </si>
  <si>
    <t>DEBT</t>
  </si>
  <si>
    <t>Total Liabilities</t>
  </si>
  <si>
    <t>Preferred Stock</t>
  </si>
  <si>
    <t>Stockholder's Equity</t>
  </si>
  <si>
    <t>SHLDRS_EQ</t>
  </si>
  <si>
    <t>Total Liabilities &amp; Stockholder's Equity</t>
  </si>
  <si>
    <t>CASH FLOW STATEMENT (always on row 200)</t>
  </si>
  <si>
    <t>Cash from Operating Activities</t>
  </si>
  <si>
    <t>FFO</t>
  </si>
  <si>
    <t>Depreciation &amp; Depletion</t>
  </si>
  <si>
    <t>Amortization of Intangibles</t>
  </si>
  <si>
    <t>Deferred Taxes &amp; Investment Tax Credit</t>
  </si>
  <si>
    <t>Other Funds</t>
  </si>
  <si>
    <t>Changes in Working Capital</t>
  </si>
  <si>
    <t>Net Operating Cash Flow</t>
  </si>
  <si>
    <t>CF_OP</t>
  </si>
  <si>
    <t>Cash from Investing Activities</t>
  </si>
  <si>
    <t>Capital Expenditures</t>
  </si>
  <si>
    <t>CAPEX</t>
  </si>
  <si>
    <t>Net Assets from Acquisitions</t>
  </si>
  <si>
    <t>Sale of Fixed Assets &amp; Businesses</t>
  </si>
  <si>
    <t>Purchase/Sale of Investments</t>
  </si>
  <si>
    <t>Purchase of Investments</t>
  </si>
  <si>
    <t>Sale/Maturity of Investments</t>
  </si>
  <si>
    <t>Other Uses</t>
  </si>
  <si>
    <t>Other Sources</t>
  </si>
  <si>
    <t>Net Investing Cash Flow</t>
  </si>
  <si>
    <t>CF_INV</t>
  </si>
  <si>
    <t>Net Cash from Operating and Investing</t>
  </si>
  <si>
    <t>Net cash from Operating and Investing after Div</t>
  </si>
  <si>
    <t>% for Debt</t>
  </si>
  <si>
    <t>% for Equity</t>
  </si>
  <si>
    <t>Cash from Financing Activities</t>
  </si>
  <si>
    <t>Cash Dividends</t>
  </si>
  <si>
    <t>Payout ratio (as a % of EPS)</t>
  </si>
  <si>
    <t>Cash from Issuance/Reduction of Debt, Net</t>
  </si>
  <si>
    <t>Change in Capital Stock</t>
  </si>
  <si>
    <t>Net Financing Cash Flow</t>
  </si>
  <si>
    <t>CF_FIN</t>
  </si>
  <si>
    <t>Cash from All Activities</t>
  </si>
  <si>
    <t>Exchange Rate Effect</t>
  </si>
  <si>
    <t>Net Change in Cash</t>
  </si>
  <si>
    <t>Free Cash Flow</t>
  </si>
  <si>
    <t>FCF</t>
  </si>
  <si>
    <t>Free Cash Flow Per Share</t>
  </si>
  <si>
    <t>Free Cash Flow Yield (%)</t>
  </si>
  <si>
    <t>Q1 2023 A</t>
  </si>
  <si>
    <t>Q2 2023 A</t>
  </si>
  <si>
    <t>Q3 2023 P</t>
  </si>
  <si>
    <t>Q4 2023 P</t>
  </si>
  <si>
    <t>Full Year</t>
  </si>
  <si>
    <t>Risk Retention</t>
  </si>
  <si>
    <t>12/2012</t>
  </si>
  <si>
    <t>12/2013</t>
  </si>
  <si>
    <t>12/2014</t>
  </si>
  <si>
    <t>12/2015</t>
  </si>
  <si>
    <t>12/2016</t>
  </si>
  <si>
    <t>12/2017</t>
  </si>
  <si>
    <t>12/2018</t>
  </si>
  <si>
    <t>12/2019</t>
  </si>
  <si>
    <t>12/2020</t>
  </si>
  <si>
    <t>12/2021</t>
  </si>
  <si>
    <t>12/2022</t>
  </si>
  <si>
    <t>12/2023</t>
  </si>
  <si>
    <t>12/2024</t>
  </si>
  <si>
    <t>12/2025</t>
  </si>
  <si>
    <t>% Ceded</t>
  </si>
  <si>
    <t>HCPCI minimum capital @ 12/22</t>
  </si>
  <si>
    <t>TypTap minimum capital @ 12/22</t>
  </si>
  <si>
    <t>or 10% of liabilites</t>
  </si>
  <si>
    <t>Investment Yeild</t>
  </si>
  <si>
    <t>Balance Sheet Notes</t>
  </si>
  <si>
    <t>Net premiums earned</t>
  </si>
  <si>
    <t>Losses and loss adjustment expenses</t>
  </si>
  <si>
    <t>Loss Ratio</t>
  </si>
  <si>
    <t>Gross Writen</t>
  </si>
  <si>
    <t>Cedded</t>
  </si>
  <si>
    <t>HCPCI</t>
  </si>
  <si>
    <t>TypTap</t>
  </si>
  <si>
    <t>Gross Premium Earned</t>
  </si>
  <si>
    <t>YOY GROWTH</t>
  </si>
  <si>
    <t>Ceded</t>
  </si>
  <si>
    <t>Ceded %</t>
  </si>
  <si>
    <t>Net</t>
  </si>
  <si>
    <t>Investment Income</t>
  </si>
  <si>
    <t>Other</t>
  </si>
  <si>
    <t>Revenues</t>
  </si>
  <si>
    <t>Losses and LAE</t>
  </si>
  <si>
    <t>Underwriting Profits</t>
  </si>
  <si>
    <t>Deffered Policy Acq Costs</t>
  </si>
  <si>
    <t>Other Selling</t>
  </si>
  <si>
    <t>Stock Based Comp</t>
  </si>
  <si>
    <t>Interest</t>
  </si>
  <si>
    <t>Depr</t>
  </si>
  <si>
    <t>Personal + Opperating</t>
  </si>
  <si>
    <t>Expenses</t>
  </si>
  <si>
    <t>Combinded policy holder surplus @ 3/31 from Demotech</t>
  </si>
  <si>
    <t xml:space="preserve">HCPIC </t>
  </si>
  <si>
    <t xml:space="preserve">TypTap </t>
  </si>
  <si>
    <t>31 MAR '21</t>
  </si>
  <si>
    <t>30 JUN '21</t>
  </si>
  <si>
    <t>30 SEP '21</t>
  </si>
  <si>
    <t>31 DEC '21</t>
  </si>
  <si>
    <t>31 MAR '22</t>
  </si>
  <si>
    <t>30 JUN '22</t>
  </si>
  <si>
    <t>30 SEP '22</t>
  </si>
  <si>
    <t>31 DEC '22</t>
  </si>
  <si>
    <t>31 MAR '23</t>
  </si>
  <si>
    <t>30 JUN '23</t>
  </si>
  <si>
    <t>Total investments</t>
  </si>
  <si>
    <t>Fixed maturity securities, held-to-maturity, at amortized cost</t>
  </si>
  <si>
    <t>-</t>
  </si>
  <si>
    <t>Fixed-maturity securities, available for sale, at fair value</t>
  </si>
  <si>
    <t>Equity securities, at fair value</t>
  </si>
  <si>
    <t>Equity securities, available for sale, at fair value</t>
  </si>
  <si>
    <t>Equity securities, trading, at fair value</t>
  </si>
  <si>
    <t>Short-term investments</t>
  </si>
  <si>
    <t>Time deposits</t>
  </si>
  <si>
    <t>Short-term investments excluding time deposits</t>
  </si>
  <si>
    <t>Limited partnership investments, at equity</t>
  </si>
  <si>
    <t>Investment in unconsolidated joint venture, at equity</t>
  </si>
  <si>
    <t>Assets held for sale</t>
  </si>
  <si>
    <t>Real estate investments</t>
  </si>
  <si>
    <t>Cash and cash equivalents</t>
  </si>
  <si>
    <t>Restricted cash</t>
  </si>
  <si>
    <t>Accrued interest and dividends receivable</t>
  </si>
  <si>
    <t>Income taxes receivable</t>
  </si>
  <si>
    <t>Premiums receivable, net</t>
  </si>
  <si>
    <t>Premiums and reinsurance receivable</t>
  </si>
  <si>
    <t>Assumed reinsurance balances receivable</t>
  </si>
  <si>
    <t>Note receivable</t>
  </si>
  <si>
    <t>Prepaid reinsurance premiums</t>
  </si>
  <si>
    <t>Reinsurance balances receivable</t>
  </si>
  <si>
    <t>Paid losses and loss adjustment expenses</t>
  </si>
  <si>
    <t>Unpaid losses and loss adjustment expenses</t>
  </si>
  <si>
    <t>Deferred policy acquisition costs</t>
  </si>
  <si>
    <t>Property and equipment, net</t>
  </si>
  <si>
    <t>Other assets</t>
  </si>
  <si>
    <t>Right-of-use-assets - operating lease</t>
  </si>
  <si>
    <t>Other assets excluding right-of-use-assets - operating lease</t>
  </si>
  <si>
    <t>Deferred income taxes, net</t>
  </si>
  <si>
    <t>Intangible assets, net</t>
  </si>
  <si>
    <t>Goodwill</t>
  </si>
  <si>
    <t>Funds held in trust for assumed business</t>
  </si>
  <si>
    <t>Total liabilities and stockholders' equity / deficit</t>
  </si>
  <si>
    <t>Total liabilities</t>
  </si>
  <si>
    <t>Unearned premiums</t>
  </si>
  <si>
    <t>Reinsurance balances payable</t>
  </si>
  <si>
    <t>Accrued expenses</t>
  </si>
  <si>
    <t>Advance premiums</t>
  </si>
  <si>
    <t>Accrued expenses excluding advance premiums</t>
  </si>
  <si>
    <t>Assumed reinsurance balances payable</t>
  </si>
  <si>
    <t>Reinsurance payable on paid losses and loss adjustment expenses</t>
  </si>
  <si>
    <t>Dividends payable</t>
  </si>
  <si>
    <t>Other liabilities</t>
  </si>
  <si>
    <t>Other liabilities excluding lease liabilities - operating leases</t>
  </si>
  <si>
    <t>Ceded reinsurance premiums payable</t>
  </si>
  <si>
    <t>Other liabilities excluding ceded reinsurance premiums payable</t>
  </si>
  <si>
    <t>Lease liabilities - operating leases</t>
  </si>
  <si>
    <t>Income taxes payable</t>
  </si>
  <si>
    <t>Reinsurance recovered in advance on unpaid losses</t>
  </si>
  <si>
    <t>Payable for securities purchased</t>
  </si>
  <si>
    <t>Revolving credit facility</t>
  </si>
  <si>
    <t>Long-term debt</t>
  </si>
  <si>
    <t>Total Liabilites</t>
  </si>
  <si>
    <t>Redeemable noncontrolling interest</t>
  </si>
  <si>
    <t>Book Value</t>
  </si>
  <si>
    <t>Diluted Shares (weighted)</t>
  </si>
  <si>
    <t>BVPS</t>
  </si>
  <si>
    <t>Comps</t>
  </si>
  <si>
    <t>Change</t>
  </si>
  <si>
    <t>Total equity</t>
  </si>
  <si>
    <t>7% Series A cumulative convertible preferred stock</t>
  </si>
  <si>
    <t>Series B junior participating preferred stock</t>
  </si>
  <si>
    <t>Preferred stock</t>
  </si>
  <si>
    <t>Common stock (no par value)</t>
  </si>
  <si>
    <t>Additional paid-in capital</t>
  </si>
  <si>
    <t>Retained income / accumulated deficit</t>
  </si>
  <si>
    <t>Accumulated other comprehensive loss / income, net of taxes</t>
  </si>
  <si>
    <t>Total stockholders' equity / deficit</t>
  </si>
  <si>
    <t>Noncontrolling interests</t>
  </si>
  <si>
    <t>Manually entered data (do not overwrite!)</t>
  </si>
  <si>
    <t>Do not make any changed right of this column</t>
  </si>
  <si>
    <t>GAAP/IFRS Data (pulled from FactSet)</t>
  </si>
  <si>
    <t>GAAP/IFRS Data Pulls from FactSet</t>
  </si>
  <si>
    <t>FactSet Codes</t>
  </si>
  <si>
    <t>STANDARDIZED GAAP DATA</t>
  </si>
  <si>
    <t>Income Statement Items</t>
  </si>
  <si>
    <t>Revenue/Sales</t>
  </si>
  <si>
    <t>FF_SALES</t>
  </si>
  <si>
    <t>Cost of Goods Sold (including D&amp;A)</t>
  </si>
  <si>
    <t>FF_COGS</t>
  </si>
  <si>
    <t>Gross Income</t>
  </si>
  <si>
    <t>FF_GROSS_INC</t>
  </si>
  <si>
    <t>Operating Expenses</t>
  </si>
  <si>
    <t>FF_EBIT_OPER</t>
  </si>
  <si>
    <t>Interest Expense</t>
  </si>
  <si>
    <t>FF_INT_EXP_NET</t>
  </si>
  <si>
    <t>FF_NON_OPER_INC</t>
  </si>
  <si>
    <t>FF_UNUSUAL_EXP</t>
  </si>
  <si>
    <t>FF_PTX_INC</t>
  </si>
  <si>
    <t>Tax Expense</t>
  </si>
  <si>
    <t>FF_INC_TAX</t>
  </si>
  <si>
    <t>FF_NET_INC</t>
  </si>
  <si>
    <t>FF_COM_SHS_OUT_EPS_DIL</t>
  </si>
  <si>
    <t>FF_EPS_DIL</t>
  </si>
  <si>
    <t>Balance Sheet Items</t>
  </si>
  <si>
    <t>FF_CASH_ST</t>
  </si>
  <si>
    <t>FF_RECEIV_NET</t>
  </si>
  <si>
    <t>FF_INVEN</t>
  </si>
  <si>
    <t>FF_ASSETS_CURR</t>
  </si>
  <si>
    <t>FF_PPE_NET</t>
  </si>
  <si>
    <t>FF_INTANG</t>
  </si>
  <si>
    <t>FF_ASSETS</t>
  </si>
  <si>
    <t>FF_PAY_ACCT</t>
  </si>
  <si>
    <t>FF_LIABS_CURR</t>
  </si>
  <si>
    <t>FF_DEBT_ST</t>
  </si>
  <si>
    <t>FF_DEBT_LT</t>
  </si>
  <si>
    <t>FF_DEBT</t>
  </si>
  <si>
    <t>FF_LIABS</t>
  </si>
  <si>
    <t>FF_PFD_STK</t>
  </si>
  <si>
    <t>FF_SHLDRS_EQ</t>
  </si>
  <si>
    <t>FF_LIABS_SHLDRS_EQ</t>
  </si>
  <si>
    <t>Cash Flow Items</t>
  </si>
  <si>
    <t>FF_NET_INC_CF</t>
  </si>
  <si>
    <t>FF_DEP_EXP_XAMORT_CF</t>
  </si>
  <si>
    <t>FF_AMORT_CF</t>
  </si>
  <si>
    <t>FF_DFD_TAX_CF</t>
  </si>
  <si>
    <t>FF_NON_CASH</t>
  </si>
  <si>
    <t>FF_WKCAP_CHG</t>
  </si>
  <si>
    <t>FF_OPER_CF</t>
  </si>
  <si>
    <t>FF_CAPEX</t>
  </si>
  <si>
    <t>FF_ACQ_BUS_CF</t>
  </si>
  <si>
    <t>FF_SALE_ASSETS_BUS_CF</t>
  </si>
  <si>
    <t>FF_INVEST_PURCH_CF</t>
  </si>
  <si>
    <t>FF_INVEST_SALE_CF</t>
  </si>
  <si>
    <t>FF_INVEST_ACTIV_CF</t>
  </si>
  <si>
    <t>FF_INVEST_SOURCES_CF</t>
  </si>
  <si>
    <t>FF_INVEST_CF</t>
  </si>
  <si>
    <t>FF_DIV_COM_CF</t>
  </si>
  <si>
    <t>FF_DEBT_CF</t>
  </si>
  <si>
    <t>FF_STK_CHG_CF</t>
  </si>
  <si>
    <t>FF_FIN_ACTIV_OTH_CF</t>
  </si>
  <si>
    <t>FF_FIN_CF</t>
  </si>
  <si>
    <t>FF_FOR_EXCH_CF</t>
  </si>
  <si>
    <t>FF_CHG_CASH_CF</t>
  </si>
  <si>
    <t>FF_FREE_CF</t>
  </si>
  <si>
    <t>FF_FREE_PS_CF</t>
  </si>
  <si>
    <t>FF_FCF_YLD</t>
  </si>
  <si>
    <t>Broker Actual Data (pulled from FactSet)</t>
  </si>
  <si>
    <t>Broker Actual Data Pulls from FactSet</t>
  </si>
  <si>
    <t>BROKER ACTUAL DATA</t>
  </si>
  <si>
    <t>GROSSINCOME</t>
  </si>
  <si>
    <t>INTEXP</t>
  </si>
  <si>
    <t>PTP</t>
  </si>
  <si>
    <t>NETPROFIT</t>
  </si>
  <si>
    <t>EPS</t>
  </si>
  <si>
    <t>CASH_ST</t>
  </si>
  <si>
    <t>RECEIV_NET</t>
  </si>
  <si>
    <t>CURRENTASSETS</t>
  </si>
  <si>
    <t>TOTASSET</t>
  </si>
  <si>
    <t>PAY_ACCT</t>
  </si>
  <si>
    <t>CURRENTLIABILITIES</t>
  </si>
  <si>
    <t>DEBT_ST</t>
  </si>
  <si>
    <t>DEBT_LT</t>
  </si>
  <si>
    <t>TOTALDEBT</t>
  </si>
  <si>
    <t>SHEQUITY</t>
  </si>
  <si>
    <t>DEPR_AMORT</t>
  </si>
  <si>
    <t>CFO</t>
  </si>
  <si>
    <t>CFI</t>
  </si>
  <si>
    <t>CFF</t>
  </si>
  <si>
    <t>Income available to common stockholders</t>
  </si>
  <si>
    <t>ROE</t>
  </si>
  <si>
    <t>Price/Book Value</t>
  </si>
  <si>
    <t>DEC '13</t>
  </si>
  <si>
    <t>DEC '14</t>
  </si>
  <si>
    <t>DEC '15</t>
  </si>
  <si>
    <t>DEC '16</t>
  </si>
  <si>
    <t>DEC '17</t>
  </si>
  <si>
    <t>DEC '18</t>
  </si>
  <si>
    <t>DEC '19</t>
  </si>
  <si>
    <t>DEC '20</t>
  </si>
  <si>
    <t>DEC '21</t>
  </si>
  <si>
    <t>DEC '22</t>
  </si>
  <si>
    <t xml:space="preserve"> Profitability</t>
  </si>
  <si>
    <t>Expense Ratio</t>
  </si>
  <si>
    <t>Loss &amp; Expense Combined Ratio</t>
  </si>
  <si>
    <t>Pretax Margin</t>
  </si>
  <si>
    <t>Net Income Return on Assets (%)</t>
  </si>
  <si>
    <t>Net Income Return on SH Equity (%)</t>
  </si>
  <si>
    <t>Return on Total Capital</t>
  </si>
  <si>
    <t>Dividend Payout Ratio (%)</t>
  </si>
  <si>
    <t xml:space="preserve"> Asset Turnover Analysis (x)</t>
  </si>
  <si>
    <t>Cash</t>
  </si>
  <si>
    <t>Premium Receivables</t>
  </si>
  <si>
    <t xml:space="preserve"> Operating Efficiency (x)</t>
  </si>
  <si>
    <t>Net Income/Employee (actual)</t>
  </si>
  <si>
    <t>Investments/Employee (actual)</t>
  </si>
  <si>
    <t>Assets/Employee (actual)</t>
  </si>
  <si>
    <t xml:space="preserve"> Liquidity</t>
  </si>
  <si>
    <t>Cash &amp; ST Investments/ST Debt</t>
  </si>
  <si>
    <t xml:space="preserve"> Coverage (x)</t>
  </si>
  <si>
    <t>Cash Dividend Coverage Ratio</t>
  </si>
  <si>
    <t>LTD/Operating income pre-tax, pre-interest</t>
  </si>
  <si>
    <t>Debt/Operating income pre-tax, pre-interest</t>
  </si>
  <si>
    <t xml:space="preserve"> Leverage (%)</t>
  </si>
  <si>
    <t>LT Debt/Total Equity</t>
  </si>
  <si>
    <t>LT Debt/Total Capital</t>
  </si>
  <si>
    <t>Net Debt/Total Equity (%)</t>
  </si>
  <si>
    <t>Total Debt/Equity (%)</t>
  </si>
  <si>
    <t>Net Debt/Total Capital</t>
  </si>
  <si>
    <t>Total Debt/Total Capital</t>
  </si>
  <si>
    <t xml:space="preserve"> Asset &amp; Reserve Quality (%)</t>
  </si>
  <si>
    <t>Below-Inv Grade Bonds/Equity ex. AOCI</t>
  </si>
  <si>
    <t>Below-Inv Grade Bonds/Capital</t>
  </si>
  <si>
    <t>Real Estate/Equity</t>
  </si>
  <si>
    <t>Real Estate/Capital</t>
  </si>
  <si>
    <t xml:space="preserve"> Valuation (x)</t>
  </si>
  <si>
    <t>Price/Earnings (Net Income)</t>
  </si>
  <si>
    <t>Price/Book Value ex. AOCI</t>
  </si>
  <si>
    <t>Price/Tangible Book Value ex. AOCI</t>
  </si>
  <si>
    <t>Price/Tangible Book Value</t>
  </si>
  <si>
    <t>Price/Free Cash Flow</t>
  </si>
  <si>
    <t>Dividend Yield (%)</t>
  </si>
  <si>
    <t>PEG ratio (Net Income)</t>
  </si>
  <si>
    <t>Net income Growth per share</t>
  </si>
  <si>
    <t xml:space="preserve"> Per Share</t>
  </si>
  <si>
    <t>Earned premiums per share</t>
  </si>
  <si>
    <t>Sales per Share</t>
  </si>
  <si>
    <t>EPS (recurring)</t>
  </si>
  <si>
    <t>EPS (diluted)</t>
  </si>
  <si>
    <t>Dividends per Share</t>
  </si>
  <si>
    <t>Book Value per share (ex. AOCI)</t>
  </si>
  <si>
    <t>Book Value per Share</t>
  </si>
  <si>
    <t>Tangible Book Value per share (ex. AOCI)</t>
  </si>
  <si>
    <t>Tangible Book Value per Share</t>
  </si>
  <si>
    <t>Cash Flow per Share</t>
  </si>
  <si>
    <t>Diluted Shares Outstanding  (M)</t>
  </si>
  <si>
    <t>Basic Shares Outstanding  (M)</t>
  </si>
  <si>
    <t>Total Shares Outstanding  (M)</t>
  </si>
  <si>
    <t xml:space="preserve"> -- Looks like stock price!</t>
  </si>
  <si>
    <t>Other Operating Expense</t>
  </si>
  <si>
    <t>Average ROE (13 - 20)</t>
  </si>
  <si>
    <t>Average Payout (13-20)</t>
  </si>
  <si>
    <t>Expected Growth in earnings: ROE * (1-Payout)</t>
  </si>
  <si>
    <t>Net Income (FY23)</t>
  </si>
  <si>
    <t>Salaries, Wages, and Administrative Personnel Expenses as a % of Net Premiums Earned</t>
  </si>
  <si>
    <t>Normalized Net income (Average ROE * BV)</t>
  </si>
  <si>
    <t>Other Operating Expense as a % of Net Premiums Earned</t>
  </si>
  <si>
    <t>Cost of Equity (FINBOX)</t>
  </si>
  <si>
    <t>Value of Equity @ 1% LT growth</t>
  </si>
  <si>
    <t>BV Attributable to TypTap</t>
  </si>
  <si>
    <t>BV Attributable to HCPCI</t>
  </si>
  <si>
    <t>Balance Sheet</t>
  </si>
  <si>
    <t>Assets</t>
  </si>
  <si>
    <t>Cash Only</t>
  </si>
  <si>
    <t>Total Investment Assets</t>
  </si>
  <si>
    <t>Premium Balance Receivables</t>
  </si>
  <si>
    <t>Other Liabilities</t>
  </si>
  <si>
    <t>Total Shareholders' Equity</t>
  </si>
  <si>
    <t>Liabilities &amp; Shareholders' Equity</t>
  </si>
  <si>
    <t>Jan Start</t>
  </si>
  <si>
    <t>First Month</t>
  </si>
  <si>
    <t>Last Annual Date</t>
  </si>
  <si>
    <t>First Year</t>
  </si>
  <si>
    <t>Histoic Year</t>
  </si>
  <si>
    <t>Last Year</t>
  </si>
  <si>
    <t>Partial Historic Year</t>
  </si>
  <si>
    <t>Assumption Year</t>
  </si>
  <si>
    <t>Annual Row</t>
  </si>
  <si>
    <t>View Ratios</t>
  </si>
  <si>
    <t>All values USD millions.</t>
  </si>
  <si>
    <t>Fiscal Year</t>
  </si>
  <si>
    <t>C:C</t>
  </si>
  <si>
    <t>D:D</t>
  </si>
  <si>
    <t>E:E</t>
  </si>
  <si>
    <t>F:F</t>
  </si>
  <si>
    <t>Net Property, Plant &amp; Equipment</t>
  </si>
  <si>
    <t>Intangible Assets</t>
  </si>
  <si>
    <t>Unearned Premiums</t>
  </si>
  <si>
    <t>Assumptions</t>
  </si>
  <si>
    <t>History</t>
  </si>
  <si>
    <t>Applied</t>
  </si>
  <si>
    <t>Investment Income/Investments</t>
  </si>
  <si>
    <t>Equity in Affiliates as Percent of Investments in Affiliates</t>
  </si>
  <si>
    <t>Minority Interest Percent</t>
  </si>
  <si>
    <t xml:space="preserve">Additions to Reserves  </t>
  </si>
  <si>
    <t>Increase in Premiums</t>
  </si>
  <si>
    <t>Additions to Reserves/Increase in Premiums</t>
  </si>
  <si>
    <t>Additions to Reserves/Premiums</t>
  </si>
  <si>
    <t>Reserve to Premium</t>
  </si>
  <si>
    <t>Investments/Reserves</t>
  </si>
  <si>
    <t>HCI Group, Inc. (HCI)</t>
  </si>
  <si>
    <t>$53.30</t>
  </si>
  <si>
    <t>HCI Group, Inc.</t>
  </si>
  <si>
    <t xml:space="preserve">HCI   40416E103   BBN23F5   NYSE    Common stock    </t>
  </si>
  <si>
    <t>FactSet Fundamentals</t>
  </si>
  <si>
    <t>31 DEC '13</t>
  </si>
  <si>
    <t>31 DEC '14</t>
  </si>
  <si>
    <t>31 DEC '15</t>
  </si>
  <si>
    <t>31 DEC '16</t>
  </si>
  <si>
    <t>31 DEC '17</t>
  </si>
  <si>
    <t>31 DEC '18</t>
  </si>
  <si>
    <t>31 DEC '19</t>
  </si>
  <si>
    <t>31 DEC '20</t>
  </si>
  <si>
    <t>RECAP</t>
  </si>
  <si>
    <t>Total assets</t>
  </si>
  <si>
    <t>All figures in millions of U.S. Dollar.</t>
  </si>
  <si>
    <t>Reinsurance Balance Recieveable</t>
  </si>
  <si>
    <t>Deffered Policy Acquistion Costs</t>
  </si>
  <si>
    <t>Prepaid Reinsurance Recieveable</t>
  </si>
  <si>
    <t>Other SUM</t>
  </si>
  <si>
    <t>Loss and LAE Reserves</t>
  </si>
  <si>
    <t>Accrued Expenses</t>
  </si>
  <si>
    <t>Reinsurance Recovered</t>
  </si>
  <si>
    <t>OTHER LIABILITY SUM</t>
  </si>
  <si>
    <t xml:space="preserve">Loss and Loss Adjustments from Net Premiums Earned </t>
  </si>
  <si>
    <t>Litigation Effectiveness Multiple</t>
  </si>
  <si>
    <t>Salaries, Wages, and Administrative Personnel Expenses per Policy in Force (Actual $)</t>
  </si>
  <si>
    <t xml:space="preserve"> Losses and Loss Adjustments as a % of Net Premiums Earned (loss ratio)</t>
  </si>
  <si>
    <t>2023E</t>
  </si>
  <si>
    <t>2024E</t>
  </si>
  <si>
    <t>2025E</t>
  </si>
  <si>
    <t>Premium Balance to Premium</t>
  </si>
  <si>
    <t>PPE to NEP</t>
  </si>
  <si>
    <t>Reinsurance Recoverable to Loss Reserves</t>
  </si>
  <si>
    <t>Deffered Policy Acquistion Costs to Premiums</t>
  </si>
  <si>
    <t>Prepaid Reinurance Recieveable</t>
  </si>
  <si>
    <t>Cash to Premiums</t>
  </si>
  <si>
    <t>Unearned Premium to Premium</t>
  </si>
  <si>
    <t>CASE</t>
  </si>
  <si>
    <t>PROBABILITY</t>
  </si>
  <si>
    <t>Base</t>
  </si>
  <si>
    <t>Bull</t>
  </si>
  <si>
    <t>Bear</t>
  </si>
  <si>
    <t>Debt to Assets</t>
  </si>
  <si>
    <t>Total:</t>
  </si>
  <si>
    <t>WEIGHTED EPS</t>
  </si>
  <si>
    <t>WEIGHTED BPS</t>
  </si>
  <si>
    <t>Share Count</t>
  </si>
  <si>
    <t xml:space="preserve">AVERAGE: </t>
  </si>
  <si>
    <t>Multiple</t>
  </si>
  <si>
    <t>Price Target</t>
  </si>
  <si>
    <t>&lt;-----1) Enter your stock ticker, 2) Refresh FactSet ribbon, 3) Enter data in yellow shaded boxes, ensuring industry metrics are formatted correctly, 4) resize column B to accommodate company name</t>
  </si>
  <si>
    <t>Company Name</t>
  </si>
  <si>
    <t>FY1</t>
  </si>
  <si>
    <t>FY2</t>
  </si>
  <si>
    <t>Ticker</t>
  </si>
  <si>
    <t>Revenue (M) - Anl*</t>
  </si>
  <si>
    <t>ROA</t>
  </si>
  <si>
    <t>Current Price</t>
  </si>
  <si>
    <t>Revenue (M) - Cns*</t>
  </si>
  <si>
    <t>Target Price</t>
  </si>
  <si>
    <t>Difference (Anl/Cns)</t>
  </si>
  <si>
    <t>ROIC</t>
  </si>
  <si>
    <t>% Upsd/Dwnsd to PT</t>
  </si>
  <si>
    <t xml:space="preserve">    % Growth - Anl*</t>
  </si>
  <si>
    <t>M-Term Rev Gr Rate Est (%)</t>
  </si>
  <si>
    <t>52-Week Low</t>
  </si>
  <si>
    <t>EBIT (M) - Anl*</t>
  </si>
  <si>
    <t>M-Term EPS Gr Rate (%)</t>
  </si>
  <si>
    <t xml:space="preserve">52-Week High </t>
  </si>
  <si>
    <t>EBIT (M) - Cns*</t>
  </si>
  <si>
    <t>Insider Holdings (%)</t>
  </si>
  <si>
    <t>Current Market Cap (M)</t>
  </si>
  <si>
    <t>Short Interest (%)</t>
  </si>
  <si>
    <t>Enterprise Value (M)</t>
  </si>
  <si>
    <t>ESG Rating</t>
  </si>
  <si>
    <t>EPS - Analyst</t>
  </si>
  <si>
    <t>Industry Metrics</t>
  </si>
  <si>
    <t>Beta</t>
  </si>
  <si>
    <t>EPS - Consensus</t>
  </si>
  <si>
    <t>WACC</t>
  </si>
  <si>
    <t>Debt/Equity</t>
  </si>
  <si>
    <t>* Anl=Analyst, Cns=Consensus</t>
  </si>
  <si>
    <t>N/A</t>
  </si>
  <si>
    <t>Net Premiums per Policy</t>
  </si>
  <si>
    <t>PUT YOUR TICKER HERE----&gt;</t>
  </si>
  <si>
    <t>PUT YOUR FACTSET BENCHMARK TICKER HERE----&gt;</t>
  </si>
  <si>
    <t>How My Price Target is Differentiated</t>
  </si>
  <si>
    <t>Ref. Letter</t>
  </si>
  <si>
    <t>Source</t>
  </si>
  <si>
    <t>1. Current data</t>
  </si>
  <si>
    <t>Current stock price</t>
  </si>
  <si>
    <t>A</t>
  </si>
  <si>
    <t>Market data provider</t>
  </si>
  <si>
    <t>Year 1 consensus EPS forecast</t>
  </si>
  <si>
    <t>B</t>
  </si>
  <si>
    <t>Stock's current valuation multiple based on Year 1 EPS (divide row A by row B)</t>
  </si>
  <si>
    <t>C</t>
  </si>
  <si>
    <t>Computation</t>
  </si>
  <si>
    <t>Current market multiple on Year 1 consensus (for the broad market such as S&amp;P 500)</t>
  </si>
  <si>
    <t>D</t>
  </si>
  <si>
    <t>Stock's current premium or discount to the market multiple (divide row C by row D and subtract 1)</t>
  </si>
  <si>
    <t>E</t>
  </si>
  <si>
    <t>2. Change from consensus EPS between Year 1 and Year 2</t>
  </si>
  <si>
    <t>Year 2 consensus (i.e. forecast at beginning of Year 2 for Year 2)</t>
  </si>
  <si>
    <t>F</t>
  </si>
  <si>
    <t>Difference between Year 2 and Year 1 consensus EPS forecasts (divide row F by row B)</t>
  </si>
  <si>
    <t>3. Change due to analyst's financial forecast differing from consensus</t>
  </si>
  <si>
    <t>Analyst's Year 2 EPS forecast in one year (NTM+1 yr)</t>
  </si>
  <si>
    <t>G</t>
  </si>
  <si>
    <t>Student's financial model scenarios</t>
  </si>
  <si>
    <t>H</t>
  </si>
  <si>
    <t>4. Change due to analyst's future valuation multiple differing from current multiple</t>
  </si>
  <si>
    <t>Analyst's estimate of MARKET’s multiple at beginning of Year 2</t>
  </si>
  <si>
    <t>J</t>
  </si>
  <si>
    <t>Sheet: Market PE Ratios (Stage 1)</t>
  </si>
  <si>
    <t>Analyst's estimate of stock's premium or discount to market multiple at beginning of Year 2</t>
  </si>
  <si>
    <t>K</t>
  </si>
  <si>
    <t>Sheet: Rel PEs-Range and Forecast (Stage 2)</t>
  </si>
  <si>
    <t>Valuation multiple used for price target at beginning of Year 2 (multiply row J x (1+row K))</t>
  </si>
  <si>
    <t>L</t>
  </si>
  <si>
    <t>Difference between analyst's future multiple and stock's current multiple ((row L ÷ row C) – 1)</t>
  </si>
  <si>
    <t>M</t>
  </si>
  <si>
    <t>5. Price target (multiply row G x row L)</t>
  </si>
  <si>
    <t>N</t>
  </si>
  <si>
    <t>Change from current price (divide row N by row A and subtract 1)</t>
  </si>
  <si>
    <t>Investment Assets</t>
  </si>
  <si>
    <t xml:space="preserve">1FY </t>
  </si>
  <si>
    <t>Revenue / Sales Change</t>
  </si>
  <si>
    <t>Upside</t>
  </si>
  <si>
    <t>Base Case</t>
  </si>
  <si>
    <t>Downside</t>
  </si>
  <si>
    <t>Operating Margin Point Change</t>
  </si>
  <si>
    <t>EPS Change</t>
  </si>
  <si>
    <t>Student Estimates</t>
  </si>
  <si>
    <t xml:space="preserve">Student vs Consensus </t>
  </si>
  <si>
    <t>Consensus</t>
  </si>
  <si>
    <t>Price to</t>
  </si>
  <si>
    <t>Sales</t>
  </si>
  <si>
    <t>Company</t>
  </si>
  <si>
    <t>Fiscal</t>
  </si>
  <si>
    <t>Market</t>
  </si>
  <si>
    <t>PEG</t>
  </si>
  <si>
    <t>Cash Flow</t>
  </si>
  <si>
    <t>(Recurring)</t>
  </si>
  <si>
    <t>1 Year</t>
  </si>
  <si>
    <t>3 Year</t>
  </si>
  <si>
    <t>5 Year</t>
  </si>
  <si>
    <t>Name</t>
  </si>
  <si>
    <t>Period</t>
  </si>
  <si>
    <t>Price</t>
  </si>
  <si>
    <t>Value</t>
  </si>
  <si>
    <t>P/E CY1 (x)</t>
  </si>
  <si>
    <t>P/E NTM (x)</t>
  </si>
  <si>
    <t>P/E CY2 (x)</t>
  </si>
  <si>
    <t>Ratio (x)</t>
  </si>
  <si>
    <t>FY1 (x)</t>
  </si>
  <si>
    <t>NTM (x)</t>
  </si>
  <si>
    <t>FY2 (x)</t>
  </si>
  <si>
    <t>CY2 (x)</t>
  </si>
  <si>
    <t>1 Yr Growth</t>
  </si>
  <si>
    <t>3 Yr Growth</t>
  </si>
  <si>
    <t>5 Yr Growth</t>
  </si>
  <si>
    <t>Growth</t>
  </si>
  <si>
    <t>HCI Group</t>
  </si>
  <si>
    <t>HCI-US</t>
  </si>
  <si>
    <t>06/30/2023</t>
  </si>
  <si>
    <t>Universal Insurance Hldgs</t>
  </si>
  <si>
    <t>UVE-US</t>
  </si>
  <si>
    <t>American Coastal Insurance</t>
  </si>
  <si>
    <t>ACIC-US</t>
  </si>
  <si>
    <t>Heritage Insurance Hldgs</t>
  </si>
  <si>
    <t>HRTG-US</t>
  </si>
  <si>
    <t>FedNat Holding</t>
  </si>
  <si>
    <t>FNHCQ-US</t>
  </si>
  <si>
    <t>03/31/2022</t>
  </si>
  <si>
    <t>Average</t>
  </si>
  <si>
    <t>10.0x</t>
  </si>
  <si>
    <r>
      <t xml:space="preserve">Difference between analyst's estimate in Year 2 and that of consensus (divide row G by row F </t>
    </r>
    <r>
      <rPr>
        <sz val="10"/>
        <color rgb="FFFF0000"/>
        <rFont val="Arial Narrow"/>
        <family val="2"/>
      </rPr>
      <t>and subtract 1</t>
    </r>
    <r>
      <rPr>
        <sz val="10"/>
        <color theme="1"/>
        <rFont val="Arial Narrow"/>
        <family val="2"/>
      </rPr>
      <t>)</t>
    </r>
  </si>
  <si>
    <t>Net Earnings</t>
  </si>
  <si>
    <t>Q1 2024</t>
  </si>
  <si>
    <t>Q2 2024</t>
  </si>
  <si>
    <t>Q3 2024</t>
  </si>
  <si>
    <t>Q4 2024</t>
  </si>
  <si>
    <t>Total Revenues</t>
  </si>
  <si>
    <t xml:space="preserve">NTM </t>
  </si>
  <si>
    <t>Q1 2024 P</t>
  </si>
  <si>
    <t>Q2 2024 P</t>
  </si>
  <si>
    <t>Q3 2024 P</t>
  </si>
  <si>
    <t>Intrest Expense</t>
  </si>
  <si>
    <t>Total Expenses</t>
  </si>
  <si>
    <t>Pre-Tax Income</t>
  </si>
  <si>
    <t>Taxes</t>
  </si>
  <si>
    <t>Tax Rate</t>
  </si>
  <si>
    <t>Shares</t>
  </si>
  <si>
    <t>P/E</t>
  </si>
  <si>
    <t>Q3 Price Target</t>
  </si>
  <si>
    <t>% Change</t>
  </si>
  <si>
    <t>SP50</t>
  </si>
  <si>
    <t>Income/Assets</t>
  </si>
  <si>
    <t>FY3</t>
  </si>
  <si>
    <t>Ticker: HCI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</si>
</sst>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5">
    <numFmt numFmtId="6" formatCode="&quot;$&quot;#,##0_);[Red]\(&quot;$&quot;#,##0\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&quot;$&quot;#,##0"/>
    <numFmt numFmtId="165" formatCode="mm/yyyy"/>
    <numFmt numFmtId="166" formatCode="0.0%"/>
    <numFmt numFmtId="167" formatCode="0.0"/>
    <numFmt numFmtId="168" formatCode="&quot;$&quot;#,##0.00"/>
    <numFmt numFmtId="169" formatCode="#,##0.0"/>
    <numFmt numFmtId="170" formatCode="_(* #,##0.0_);_(* \(#,##0.0\);_(* &quot;-&quot;??_);_(@_)"/>
    <numFmt numFmtId="171" formatCode="0.000%"/>
    <numFmt numFmtId="172" formatCode="_(* #,##0_);_(* \(#,##0\);_(* &quot;-&quot;??_);_(@_)"/>
    <numFmt numFmtId="173" formatCode="0.00\x"/>
    <numFmt numFmtId="174" formatCode="0.0\x"/>
    <numFmt numFmtId="175" formatCode="#,##0.00\x"/>
  </numFmts>
  <fonts count="88" x14ac:knownFonts="1">
    <font>
      <sz val="11"/>
      <color theme="1"/>
      <name val="Arial Narrow"/>
      <family val="2"/>
    </font>
    <font>
      <sz val="11"/>
      <color theme="1"/>
      <name val="Arial Narrow"/>
      <family val="2"/>
      <scheme val="minor"/>
    </font>
    <font>
      <sz val="11"/>
      <name val="Arial Narrow"/>
      <family val="2"/>
    </font>
    <font>
      <sz val="11"/>
      <color theme="1"/>
      <name val="Arial Narrow"/>
      <family val="2"/>
    </font>
    <font>
      <sz val="18"/>
      <color theme="3"/>
      <name val="Arial Narrow"/>
      <family val="2"/>
      <scheme val="major"/>
    </font>
    <font>
      <b/>
      <sz val="15"/>
      <color theme="3"/>
      <name val="Arial Narrow"/>
      <family val="2"/>
    </font>
    <font>
      <sz val="11"/>
      <color rgb="FFFF0000"/>
      <name val="Arial Narrow"/>
      <family val="2"/>
    </font>
    <font>
      <sz val="11"/>
      <color theme="0"/>
      <name val="Arial Narrow"/>
      <family val="2"/>
    </font>
    <font>
      <sz val="10"/>
      <color rgb="FF0070C0"/>
      <name val="Arial Narrow"/>
      <family val="2"/>
    </font>
    <font>
      <sz val="11"/>
      <color theme="1"/>
      <name val="Arial"/>
      <family val="2"/>
    </font>
    <font>
      <sz val="11"/>
      <color rgb="FF0000FF"/>
      <name val="Arial Narrow"/>
      <family val="2"/>
    </font>
    <font>
      <sz val="11"/>
      <color theme="5" tint="-0.499984740745262"/>
      <name val="Arial Narrow"/>
      <family val="2"/>
    </font>
    <font>
      <sz val="11"/>
      <color rgb="FFC00000"/>
      <name val="Arial Narrow"/>
      <family val="2"/>
    </font>
    <font>
      <b/>
      <sz val="11"/>
      <color rgb="FFC00000"/>
      <name val="Arial Narrow"/>
      <family val="2"/>
    </font>
    <font>
      <b/>
      <sz val="10"/>
      <name val="Arial Narrow"/>
      <family val="2"/>
    </font>
    <font>
      <sz val="11"/>
      <color theme="0"/>
      <name val="Arial"/>
      <family val="2"/>
    </font>
    <font>
      <sz val="8"/>
      <color rgb="FFC00000"/>
      <name val="Arial Narrow"/>
      <family val="2"/>
    </font>
    <font>
      <b/>
      <sz val="10"/>
      <color theme="1"/>
      <name val="Arial Narrow"/>
      <family val="2"/>
    </font>
    <font>
      <sz val="10"/>
      <name val="Arial Narrow"/>
      <family val="2"/>
    </font>
    <font>
      <sz val="8"/>
      <name val="Arial Narrow"/>
      <family val="2"/>
    </font>
    <font>
      <b/>
      <sz val="10"/>
      <color indexed="20"/>
      <name val="Arial Narrow"/>
      <family val="2"/>
    </font>
    <font>
      <i/>
      <sz val="11"/>
      <name val="Arial Narrow"/>
      <family val="2"/>
    </font>
    <font>
      <b/>
      <sz val="11"/>
      <name val="Arial Narrow"/>
      <family val="2"/>
    </font>
    <font>
      <b/>
      <sz val="10"/>
      <color rgb="FF0066CC"/>
      <name val="Arial"/>
      <family val="2"/>
    </font>
    <font>
      <sz val="11"/>
      <color rgb="FF800080"/>
      <name val="Arial Narrow"/>
      <family val="2"/>
    </font>
    <font>
      <sz val="10"/>
      <color rgb="FF0066CC"/>
      <name val="Arial"/>
      <family val="2"/>
    </font>
    <font>
      <b/>
      <sz val="10"/>
      <color theme="1"/>
      <name val="Arial"/>
      <family val="2"/>
    </font>
    <font>
      <sz val="11"/>
      <color rgb="FF00B050"/>
      <name val="Arial Narrow"/>
      <family val="2"/>
    </font>
    <font>
      <b/>
      <sz val="11"/>
      <color rgb="FF00B050"/>
      <name val="Arial Narrow"/>
      <family val="2"/>
    </font>
    <font>
      <sz val="11"/>
      <color theme="5"/>
      <name val="Arial Narrow"/>
      <family val="2"/>
    </font>
    <font>
      <b/>
      <sz val="11"/>
      <color theme="5"/>
      <name val="Arial Narrow"/>
      <family val="2"/>
    </font>
    <font>
      <b/>
      <sz val="11"/>
      <color theme="1"/>
      <name val="Arial Narrow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1"/>
      <color rgb="FFED7D31"/>
      <name val="Arial Narrow"/>
      <family val="2"/>
    </font>
    <font>
      <sz val="10"/>
      <color rgb="FF0070C0"/>
      <name val="Arial Narrow"/>
      <family val="2"/>
      <scheme val="minor"/>
    </font>
    <font>
      <sz val="11"/>
      <color rgb="FF0000FF"/>
      <name val="Arial Narrow"/>
      <family val="2"/>
      <scheme val="minor"/>
    </font>
    <font>
      <sz val="11"/>
      <name val="Arial Narrow"/>
      <family val="2"/>
      <scheme val="minor"/>
    </font>
    <font>
      <sz val="11"/>
      <color rgb="FF00B050"/>
      <name val="Arial Narrow"/>
      <family val="2"/>
      <scheme val="minor"/>
    </font>
    <font>
      <sz val="11"/>
      <color rgb="FFC00000"/>
      <name val="Arial Narrow"/>
      <family val="2"/>
      <scheme val="minor"/>
    </font>
    <font>
      <b/>
      <sz val="11"/>
      <color rgb="FFC00000"/>
      <name val="Arial Narrow"/>
      <family val="2"/>
      <scheme val="minor"/>
    </font>
    <font>
      <b/>
      <sz val="8"/>
      <name val="Arial Narrow"/>
      <family val="2"/>
      <scheme val="minor"/>
    </font>
    <font>
      <sz val="11"/>
      <color theme="5"/>
      <name val="Arial Narrow"/>
      <family val="2"/>
      <scheme val="minor"/>
    </font>
    <font>
      <sz val="11"/>
      <color theme="0"/>
      <name val="Arial Narrow"/>
      <family val="2"/>
      <scheme val="minor"/>
    </font>
    <font>
      <sz val="8"/>
      <color rgb="FFC00000"/>
      <name val="Arial Narrow"/>
      <family val="2"/>
      <scheme val="minor"/>
    </font>
    <font>
      <b/>
      <sz val="10"/>
      <color theme="1"/>
      <name val="Arial Narrow"/>
      <family val="2"/>
      <scheme val="minor"/>
    </font>
    <font>
      <sz val="8"/>
      <name val="Arial Narrow"/>
      <family val="2"/>
      <scheme val="minor"/>
    </font>
    <font>
      <sz val="10"/>
      <name val="Arial Narrow"/>
      <family val="2"/>
      <scheme val="minor"/>
    </font>
    <font>
      <sz val="11"/>
      <color rgb="FF0070C0"/>
      <name val="Arial Narrow"/>
      <family val="2"/>
      <scheme val="minor"/>
    </font>
    <font>
      <b/>
      <sz val="10"/>
      <name val="Arial Narrow"/>
      <family val="2"/>
      <scheme val="minor"/>
    </font>
    <font>
      <i/>
      <sz val="11"/>
      <name val="Arial Narrow"/>
      <family val="2"/>
      <scheme val="minor"/>
    </font>
    <font>
      <b/>
      <sz val="11"/>
      <name val="Arial Narrow"/>
      <family val="2"/>
      <scheme val="minor"/>
    </font>
    <font>
      <sz val="11"/>
      <color theme="5" tint="-0.499984740745262"/>
      <name val="Arial Narrow"/>
      <family val="2"/>
      <scheme val="minor"/>
    </font>
    <font>
      <sz val="11"/>
      <color rgb="FF800080"/>
      <name val="Arial Narrow"/>
      <family val="2"/>
      <scheme val="minor"/>
    </font>
    <font>
      <b/>
      <sz val="11"/>
      <color theme="1"/>
      <name val="Arial Narrow"/>
      <family val="2"/>
      <scheme val="minor"/>
    </font>
    <font>
      <sz val="11"/>
      <color theme="1"/>
      <name val="Arial Narrow"/>
      <family val="2"/>
      <scheme val="minor"/>
    </font>
    <font>
      <sz val="11"/>
      <color rgb="FFFF0000"/>
      <name val="Arial Narrow"/>
      <family val="2"/>
      <scheme val="minor"/>
    </font>
    <font>
      <sz val="11"/>
      <color rgb="FFED7D31"/>
      <name val="Arial Narrow"/>
      <family val="2"/>
      <scheme val="minor"/>
    </font>
    <font>
      <b/>
      <sz val="11"/>
      <color theme="5" tint="-0.499984740745262"/>
      <name val="Arial Narrow"/>
      <family val="2"/>
      <scheme val="minor"/>
    </font>
    <font>
      <b/>
      <sz val="11"/>
      <color rgb="FF800080"/>
      <name val="Arial Narrow"/>
      <family val="2"/>
      <scheme val="minor"/>
    </font>
    <font>
      <b/>
      <sz val="11"/>
      <color rgb="FFFF0000"/>
      <name val="Arial Narrow"/>
      <family val="2"/>
      <scheme val="minor"/>
    </font>
    <font>
      <b/>
      <sz val="11"/>
      <color rgb="FF00B050"/>
      <name val="Arial Narrow"/>
      <family val="2"/>
      <scheme val="minor"/>
    </font>
    <font>
      <sz val="11"/>
      <color rgb="FF0070C0"/>
      <name val="Arial Narrow"/>
      <family val="2"/>
    </font>
    <font>
      <sz val="10"/>
      <color theme="1"/>
      <name val="Arial"/>
      <family val="2"/>
    </font>
    <font>
      <b/>
      <i/>
      <sz val="11"/>
      <color theme="5" tint="-0.499984740745262"/>
      <name val="Arial Narrow"/>
      <family val="2"/>
      <scheme val="minor"/>
    </font>
    <font>
      <b/>
      <i/>
      <sz val="11"/>
      <color rgb="FF800080"/>
      <name val="Arial Narrow"/>
      <family val="2"/>
      <scheme val="minor"/>
    </font>
    <font>
      <b/>
      <i/>
      <sz val="11"/>
      <name val="Arial Narrow"/>
      <family val="2"/>
      <scheme val="minor"/>
    </font>
    <font>
      <b/>
      <i/>
      <sz val="11"/>
      <color rgb="FFFF0000"/>
      <name val="Arial Narrow"/>
      <family val="2"/>
      <scheme val="minor"/>
    </font>
    <font>
      <i/>
      <sz val="11"/>
      <color theme="5" tint="-0.499984740745262"/>
      <name val="Arial Narrow"/>
      <family val="2"/>
      <scheme val="minor"/>
    </font>
    <font>
      <i/>
      <sz val="11"/>
      <color rgb="FF800080"/>
      <name val="Arial Narrow"/>
      <family val="2"/>
      <scheme val="minor"/>
    </font>
    <font>
      <i/>
      <sz val="11"/>
      <color rgb="FFFF0000"/>
      <name val="Arial Narrow"/>
      <family val="2"/>
      <scheme val="minor"/>
    </font>
    <font>
      <i/>
      <sz val="11"/>
      <color theme="1"/>
      <name val="Arial Narrow"/>
      <family val="2"/>
      <scheme val="minor"/>
    </font>
    <font>
      <sz val="11"/>
      <name val="Calibri"/>
      <family val="2"/>
    </font>
    <font>
      <b/>
      <sz val="11"/>
      <name val="Calibri"/>
      <family val="2"/>
    </font>
    <font>
      <b/>
      <sz val="10"/>
      <color rgb="FF003366"/>
      <name val="Arial"/>
      <family val="2"/>
    </font>
    <font>
      <sz val="10"/>
      <color rgb="FF646464"/>
      <name val="Arial"/>
      <family val="2"/>
    </font>
    <font>
      <sz val="11"/>
      <color rgb="FF0000B0"/>
      <name val="Calibri"/>
      <family val="2"/>
    </font>
    <font>
      <b/>
      <sz val="11"/>
      <color theme="0"/>
      <name val="Calibri"/>
      <family val="2"/>
    </font>
    <font>
      <b/>
      <sz val="11"/>
      <color rgb="FFFFFFFF"/>
      <name val="Calibri"/>
      <family val="2"/>
    </font>
    <font>
      <b/>
      <sz val="11"/>
      <color rgb="FF0070C0"/>
      <name val="Arial Narrow"/>
      <family val="2"/>
    </font>
    <font>
      <b/>
      <sz val="12"/>
      <color theme="1"/>
      <name val="Arial Narrow"/>
      <family val="2"/>
    </font>
    <font>
      <u/>
      <sz val="11"/>
      <color theme="1"/>
      <name val="Arial Narrow"/>
      <family val="2"/>
    </font>
    <font>
      <sz val="10"/>
      <color rgb="FFFF0000"/>
      <name val="Arial"/>
      <family val="2"/>
    </font>
    <font>
      <sz val="10"/>
      <color theme="1"/>
      <name val="Arial Narrow"/>
      <family val="2"/>
    </font>
    <font>
      <sz val="10"/>
      <color rgb="FFFF0000"/>
      <name val="Arial Narrow"/>
      <family val="2"/>
    </font>
    <font>
      <sz val="8"/>
      <color rgb="FF000000"/>
      <name val="Segoe UI"/>
      <family val="2"/>
    </font>
    <font>
      <sz val="11"/>
      <color theme="4"/>
      <name val="Arial Narrow"/>
      <family val="2"/>
    </font>
    <font>
      <sz val="11"/>
      <name val="Calibri"/>
      <family val="2"/>
    </font>
  </fonts>
  <fills count="18">
    <fill>
      <patternFill patternType="none"/>
    </fill>
    <fill>
      <patternFill patternType="gray125"/>
    </fill>
    <fill>
      <patternFill patternType="solid">
        <fgColor rgb="FFEFF6FB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32323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E5E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990033"/>
        <bgColor indexed="64"/>
      </patternFill>
    </fill>
    <fill>
      <patternFill patternType="solid">
        <fgColor rgb="FFC8C8C8"/>
        <bgColor indexed="64"/>
      </patternFill>
    </fill>
    <fill>
      <patternFill patternType="solid">
        <fgColor rgb="FFF0F0F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DDDD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n">
        <color rgb="FFC8C8C8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indexed="64"/>
      </bottom>
      <diagonal/>
    </border>
  </borders>
  <cellStyleXfs count="13">
    <xf numFmtId="0" fontId="0" fillId="0" borderId="0"/>
    <xf numFmtId="43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4" fillId="0" borderId="0" applyNumberFormat="0" applyFill="0" applyBorder="0" applyAlignment="0" applyProtection="0"/>
    <xf numFmtId="0" fontId="5" fillId="0" borderId="1" applyNumberFormat="0" applyFill="0" applyAlignment="0" applyProtection="0"/>
    <xf numFmtId="0" fontId="9" fillId="2" borderId="0" applyNumberFormat="0" applyFont="0" applyBorder="0" applyAlignment="0" applyProtection="0"/>
    <xf numFmtId="0" fontId="15" fillId="4" borderId="2">
      <alignment horizontal="right" vertical="center" indent="1"/>
    </xf>
    <xf numFmtId="0" fontId="23" fillId="5" borderId="0" applyNumberFormat="0" applyFill="0" applyBorder="0" applyAlignment="0" applyProtection="0">
      <alignment horizontal="right"/>
    </xf>
    <xf numFmtId="0" fontId="25" fillId="5" borderId="0" applyNumberFormat="0" applyFill="0" applyBorder="0" applyAlignment="0" applyProtection="0">
      <alignment horizontal="right"/>
    </xf>
    <xf numFmtId="0" fontId="63" fillId="0" borderId="0"/>
    <xf numFmtId="44" fontId="3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</cellStyleXfs>
  <cellXfs count="476">
    <xf numFmtId="0" fontId="0" fillId="0" borderId="0" xfId="0"/>
    <xf numFmtId="0" fontId="2" fillId="0" borderId="0" xfId="0" applyFont="1"/>
    <xf numFmtId="49" fontId="8" fillId="0" borderId="0" xfId="0" applyNumberFormat="1" applyFont="1" applyAlignment="1">
      <alignment horizontal="left" vertical="top"/>
    </xf>
    <xf numFmtId="0" fontId="2" fillId="0" borderId="0" xfId="5" applyFont="1" applyFill="1" applyBorder="1"/>
    <xf numFmtId="0" fontId="10" fillId="0" borderId="0" xfId="5" applyFont="1" applyFill="1" applyBorder="1" applyAlignment="1">
      <alignment horizontal="center" vertical="center"/>
    </xf>
    <xf numFmtId="0" fontId="2" fillId="0" borderId="0" xfId="5" applyFont="1" applyFill="1" applyBorder="1" applyAlignment="1">
      <alignment horizontal="center" vertical="center"/>
    </xf>
    <xf numFmtId="0" fontId="2" fillId="0" borderId="0" xfId="5" applyFont="1" applyFill="1" applyBorder="1" applyAlignment="1">
      <alignment horizontal="right"/>
    </xf>
    <xf numFmtId="0" fontId="3" fillId="0" borderId="0" xfId="5" applyFont="1" applyFill="1" applyBorder="1"/>
    <xf numFmtId="0" fontId="12" fillId="3" borderId="0" xfId="5" applyFont="1" applyFill="1" applyBorder="1" applyAlignment="1">
      <alignment horizontal="right" wrapText="1"/>
    </xf>
    <xf numFmtId="0" fontId="2" fillId="0" borderId="0" xfId="5" applyFont="1" applyFill="1" applyBorder="1" applyAlignment="1">
      <alignment horizontal="left"/>
    </xf>
    <xf numFmtId="0" fontId="13" fillId="0" borderId="0" xfId="5" applyFont="1" applyFill="1" applyBorder="1" applyAlignment="1">
      <alignment horizontal="right"/>
    </xf>
    <xf numFmtId="0" fontId="14" fillId="0" borderId="0" xfId="0" applyFont="1" applyAlignment="1">
      <alignment horizontal="left" vertical="center"/>
    </xf>
    <xf numFmtId="0" fontId="7" fillId="0" borderId="0" xfId="6" applyFont="1" applyFill="1" applyBorder="1" applyAlignment="1">
      <alignment horizontal="right" vertical="center"/>
    </xf>
    <xf numFmtId="0" fontId="14" fillId="0" borderId="0" xfId="0" applyFont="1" applyAlignment="1">
      <alignment horizontal="center" vertical="center"/>
    </xf>
    <xf numFmtId="0" fontId="14" fillId="0" borderId="0" xfId="0" applyFont="1" applyAlignment="1">
      <alignment horizontal="center" vertical="center" wrapText="1"/>
    </xf>
    <xf numFmtId="0" fontId="7" fillId="0" borderId="0" xfId="0" applyFont="1" applyAlignment="1">
      <alignment horizontal="right" vertical="center"/>
    </xf>
    <xf numFmtId="0" fontId="7" fillId="3" borderId="0" xfId="6" applyFont="1" applyFill="1" applyBorder="1" applyAlignment="1">
      <alignment horizontal="right" vertical="center" wrapText="1"/>
    </xf>
    <xf numFmtId="0" fontId="16" fillId="0" borderId="0" xfId="5" applyFont="1" applyFill="1" applyBorder="1" applyAlignment="1">
      <alignment horizontal="center" vertical="center"/>
    </xf>
    <xf numFmtId="0" fontId="17" fillId="0" borderId="0" xfId="0" applyFont="1" applyAlignment="1">
      <alignment vertical="top"/>
    </xf>
    <xf numFmtId="0" fontId="18" fillId="0" borderId="0" xfId="5" applyFont="1" applyFill="1" applyBorder="1"/>
    <xf numFmtId="0" fontId="19" fillId="0" borderId="0" xfId="5" applyFont="1" applyFill="1" applyBorder="1" applyAlignment="1">
      <alignment horizontal="left"/>
    </xf>
    <xf numFmtId="0" fontId="18" fillId="0" borderId="0" xfId="5" applyFont="1" applyFill="1" applyBorder="1" applyAlignment="1">
      <alignment horizontal="right"/>
    </xf>
    <xf numFmtId="0" fontId="2" fillId="3" borderId="0" xfId="5" applyFont="1" applyFill="1" applyBorder="1" applyAlignment="1">
      <alignment horizontal="right" wrapText="1"/>
    </xf>
    <xf numFmtId="0" fontId="16" fillId="0" borderId="0" xfId="5" applyFont="1" applyFill="1" applyBorder="1" applyAlignment="1">
      <alignment horizontal="center"/>
    </xf>
    <xf numFmtId="0" fontId="14" fillId="0" borderId="0" xfId="3" applyFont="1" applyFill="1" applyBorder="1" applyAlignment="1">
      <alignment horizontal="left" vertical="center"/>
    </xf>
    <xf numFmtId="0" fontId="20" fillId="0" borderId="0" xfId="5" applyFont="1" applyFill="1" applyBorder="1"/>
    <xf numFmtId="0" fontId="21" fillId="0" borderId="0" xfId="5" applyFont="1" applyFill="1" applyBorder="1" applyAlignment="1">
      <alignment vertical="center"/>
    </xf>
    <xf numFmtId="0" fontId="22" fillId="0" borderId="0" xfId="5" applyFont="1" applyFill="1" applyBorder="1" applyAlignment="1">
      <alignment horizontal="centerContinuous" vertical="center"/>
    </xf>
    <xf numFmtId="0" fontId="22" fillId="3" borderId="0" xfId="5" applyFont="1" applyFill="1" applyBorder="1" applyAlignment="1">
      <alignment horizontal="centerContinuous" vertical="center" wrapText="1"/>
    </xf>
    <xf numFmtId="0" fontId="2" fillId="0" borderId="0" xfId="5" applyFont="1" applyFill="1" applyBorder="1" applyAlignment="1">
      <alignment vertical="center"/>
    </xf>
    <xf numFmtId="0" fontId="21" fillId="0" borderId="0" xfId="5" applyFont="1" applyFill="1" applyBorder="1"/>
    <xf numFmtId="0" fontId="22" fillId="0" borderId="0" xfId="5" quotePrefix="1" applyFont="1" applyFill="1" applyBorder="1" applyAlignment="1">
      <alignment horizontal="left"/>
    </xf>
    <xf numFmtId="0" fontId="22" fillId="0" borderId="0" xfId="5" quotePrefix="1" applyFont="1" applyFill="1" applyBorder="1" applyAlignment="1">
      <alignment horizontal="right"/>
    </xf>
    <xf numFmtId="0" fontId="22" fillId="3" borderId="0" xfId="5" quotePrefix="1" applyFont="1" applyFill="1" applyBorder="1" applyAlignment="1">
      <alignment horizontal="right" wrapText="1"/>
    </xf>
    <xf numFmtId="164" fontId="11" fillId="0" borderId="0" xfId="7" applyNumberFormat="1" applyFont="1" applyFill="1" applyBorder="1" applyAlignment="1">
      <alignment horizontal="right"/>
    </xf>
    <xf numFmtId="165" fontId="24" fillId="3" borderId="0" xfId="7" applyNumberFormat="1" applyFont="1" applyFill="1" applyBorder="1" applyAlignment="1">
      <alignment horizontal="right" wrapText="1"/>
    </xf>
    <xf numFmtId="0" fontId="22" fillId="0" borderId="0" xfId="4" applyFont="1" applyFill="1" applyBorder="1" applyAlignment="1">
      <alignment vertical="center"/>
    </xf>
    <xf numFmtId="0" fontId="2" fillId="0" borderId="0" xfId="5" applyNumberFormat="1" applyFont="1" applyFill="1" applyBorder="1"/>
    <xf numFmtId="164" fontId="11" fillId="0" borderId="0" xfId="8" applyNumberFormat="1" applyFont="1" applyFill="1" applyBorder="1" applyAlignment="1">
      <alignment horizontal="right"/>
    </xf>
    <xf numFmtId="3" fontId="6" fillId="0" borderId="0" xfId="8" applyNumberFormat="1" applyFont="1" applyFill="1" applyBorder="1" applyAlignment="1">
      <alignment horizontal="right"/>
    </xf>
    <xf numFmtId="0" fontId="2" fillId="0" borderId="0" xfId="5" applyFont="1" applyFill="1" applyBorder="1" applyAlignment="1">
      <alignment horizontal="left" indent="1"/>
    </xf>
    <xf numFmtId="0" fontId="2" fillId="5" borderId="0" xfId="5" applyFont="1" applyFill="1" applyBorder="1"/>
    <xf numFmtId="0" fontId="22" fillId="0" borderId="0" xfId="5" applyFont="1" applyFill="1" applyBorder="1"/>
    <xf numFmtId="4" fontId="2" fillId="0" borderId="0" xfId="5" applyNumberFormat="1" applyFont="1" applyFill="1" applyBorder="1"/>
    <xf numFmtId="4" fontId="22" fillId="0" borderId="0" xfId="5" applyNumberFormat="1" applyFont="1" applyFill="1" applyBorder="1" applyAlignment="1">
      <alignment horizontal="left"/>
    </xf>
    <xf numFmtId="49" fontId="2" fillId="0" borderId="0" xfId="5" applyNumberFormat="1" applyFont="1" applyFill="1" applyBorder="1"/>
    <xf numFmtId="49" fontId="22" fillId="0" borderId="0" xfId="5" applyNumberFormat="1" applyFont="1" applyFill="1" applyBorder="1"/>
    <xf numFmtId="0" fontId="26" fillId="0" borderId="0" xfId="0" applyFont="1" applyAlignment="1">
      <alignment horizontal="center"/>
    </xf>
    <xf numFmtId="164" fontId="27" fillId="0" borderId="0" xfId="7" applyNumberFormat="1" applyFont="1" applyFill="1" applyBorder="1" applyAlignment="1">
      <alignment horizontal="right"/>
    </xf>
    <xf numFmtId="164" fontId="27" fillId="0" borderId="0" xfId="8" applyNumberFormat="1" applyFont="1" applyFill="1" applyBorder="1" applyAlignment="1">
      <alignment horizontal="right"/>
    </xf>
    <xf numFmtId="164" fontId="28" fillId="0" borderId="0" xfId="8" applyNumberFormat="1" applyFont="1" applyFill="1" applyBorder="1" applyAlignment="1">
      <alignment horizontal="right"/>
    </xf>
    <xf numFmtId="169" fontId="27" fillId="0" borderId="0" xfId="8" applyNumberFormat="1" applyFont="1" applyFill="1" applyBorder="1" applyAlignment="1">
      <alignment horizontal="right"/>
    </xf>
    <xf numFmtId="168" fontId="28" fillId="0" borderId="0" xfId="8" applyNumberFormat="1" applyFont="1" applyFill="1" applyBorder="1" applyAlignment="1">
      <alignment horizontal="right"/>
    </xf>
    <xf numFmtId="0" fontId="8" fillId="0" borderId="0" xfId="0" applyFont="1" applyAlignment="1">
      <alignment horizontal="left" vertical="center"/>
    </xf>
    <xf numFmtId="166" fontId="2" fillId="0" borderId="0" xfId="2" applyNumberFormat="1" applyFont="1" applyFill="1"/>
    <xf numFmtId="168" fontId="27" fillId="0" borderId="0" xfId="8" applyNumberFormat="1" applyFont="1" applyFill="1" applyBorder="1" applyAlignment="1">
      <alignment horizontal="right"/>
    </xf>
    <xf numFmtId="164" fontId="29" fillId="0" borderId="0" xfId="8" applyNumberFormat="1" applyFont="1" applyFill="1" applyBorder="1" applyAlignment="1">
      <alignment horizontal="right"/>
    </xf>
    <xf numFmtId="0" fontId="29" fillId="0" borderId="0" xfId="0" applyFont="1"/>
    <xf numFmtId="0" fontId="30" fillId="0" borderId="0" xfId="0" applyFont="1"/>
    <xf numFmtId="0" fontId="28" fillId="0" borderId="0" xfId="0" applyFont="1"/>
    <xf numFmtId="164" fontId="30" fillId="0" borderId="0" xfId="8" applyNumberFormat="1" applyFont="1" applyFill="1" applyBorder="1" applyAlignment="1">
      <alignment horizontal="right"/>
    </xf>
    <xf numFmtId="168" fontId="30" fillId="0" borderId="0" xfId="8" applyNumberFormat="1" applyFont="1" applyFill="1" applyBorder="1" applyAlignment="1">
      <alignment horizontal="right"/>
    </xf>
    <xf numFmtId="0" fontId="31" fillId="0" borderId="0" xfId="0" applyFont="1" applyAlignment="1">
      <alignment vertical="center"/>
    </xf>
    <xf numFmtId="0" fontId="0" fillId="6" borderId="0" xfId="0" applyFill="1"/>
    <xf numFmtId="164" fontId="34" fillId="0" borderId="0" xfId="7" applyNumberFormat="1" applyFont="1" applyFill="1" applyBorder="1" applyAlignment="1">
      <alignment horizontal="right"/>
    </xf>
    <xf numFmtId="0" fontId="7" fillId="0" borderId="0" xfId="6" applyFont="1" applyFill="1" applyBorder="1" applyAlignment="1">
      <alignment vertical="center"/>
    </xf>
    <xf numFmtId="0" fontId="27" fillId="0" borderId="0" xfId="5" applyFont="1" applyFill="1" applyBorder="1" applyAlignment="1">
      <alignment horizontal="right" vertical="center"/>
    </xf>
    <xf numFmtId="0" fontId="27" fillId="0" borderId="0" xfId="5" applyFont="1" applyFill="1" applyBorder="1" applyAlignment="1">
      <alignment vertical="center"/>
    </xf>
    <xf numFmtId="0" fontId="27" fillId="0" borderId="0" xfId="6" applyFont="1" applyFill="1" applyBorder="1" applyAlignment="1">
      <alignment vertical="center"/>
    </xf>
    <xf numFmtId="0" fontId="34" fillId="0" borderId="0" xfId="5" applyFont="1" applyFill="1" applyBorder="1" applyAlignment="1">
      <alignment vertical="center"/>
    </xf>
    <xf numFmtId="0" fontId="7" fillId="0" borderId="0" xfId="0" applyFont="1" applyAlignment="1">
      <alignment vertical="center"/>
    </xf>
    <xf numFmtId="49" fontId="35" fillId="0" borderId="0" xfId="0" applyNumberFormat="1" applyFont="1" applyAlignment="1">
      <alignment horizontal="left" vertical="top"/>
    </xf>
    <xf numFmtId="0" fontId="36" fillId="0" borderId="0" xfId="5" applyFont="1" applyFill="1" applyBorder="1" applyAlignment="1">
      <alignment horizontal="center" vertical="center"/>
    </xf>
    <xf numFmtId="0" fontId="37" fillId="0" borderId="0" xfId="5" applyFont="1" applyFill="1" applyBorder="1" applyAlignment="1">
      <alignment horizontal="center" vertical="center"/>
    </xf>
    <xf numFmtId="49" fontId="35" fillId="0" borderId="0" xfId="0" applyNumberFormat="1" applyFont="1" applyAlignment="1">
      <alignment horizontal="center" vertical="center"/>
    </xf>
    <xf numFmtId="0" fontId="38" fillId="0" borderId="0" xfId="5" applyFont="1" applyFill="1" applyBorder="1" applyAlignment="1">
      <alignment horizontal="left"/>
    </xf>
    <xf numFmtId="0" fontId="37" fillId="0" borderId="0" xfId="5" applyFont="1" applyFill="1" applyBorder="1" applyAlignment="1">
      <alignment horizontal="right"/>
    </xf>
    <xf numFmtId="0" fontId="39" fillId="3" borderId="0" xfId="5" applyFont="1" applyFill="1" applyBorder="1" applyAlignment="1">
      <alignment horizontal="right" wrapText="1"/>
    </xf>
    <xf numFmtId="0" fontId="37" fillId="0" borderId="0" xfId="5" applyFont="1" applyFill="1" applyBorder="1" applyAlignment="1">
      <alignment horizontal="left"/>
    </xf>
    <xf numFmtId="0" fontId="37" fillId="0" borderId="0" xfId="5" applyFont="1" applyFill="1" applyBorder="1"/>
    <xf numFmtId="0" fontId="40" fillId="0" borderId="0" xfId="5" applyFont="1" applyFill="1" applyBorder="1" applyAlignment="1">
      <alignment horizontal="right"/>
    </xf>
    <xf numFmtId="0" fontId="35" fillId="0" borderId="0" xfId="0" applyFont="1" applyAlignment="1">
      <alignment horizontal="left" vertical="center"/>
    </xf>
    <xf numFmtId="0" fontId="41" fillId="0" borderId="0" xfId="0" applyFont="1" applyAlignment="1">
      <alignment horizontal="center" vertical="center"/>
    </xf>
    <xf numFmtId="164" fontId="42" fillId="0" borderId="0" xfId="8" applyNumberFormat="1" applyFont="1" applyFill="1" applyBorder="1" applyAlignment="1">
      <alignment horizontal="left"/>
    </xf>
    <xf numFmtId="0" fontId="42" fillId="0" borderId="0" xfId="5" applyFont="1" applyFill="1" applyBorder="1" applyAlignment="1">
      <alignment horizontal="left"/>
    </xf>
    <xf numFmtId="0" fontId="43" fillId="0" borderId="0" xfId="6" applyFont="1" applyFill="1" applyBorder="1" applyAlignment="1">
      <alignment horizontal="right" vertical="center"/>
    </xf>
    <xf numFmtId="0" fontId="43" fillId="0" borderId="0" xfId="0" applyFont="1" applyAlignment="1">
      <alignment horizontal="right" vertical="center"/>
    </xf>
    <xf numFmtId="0" fontId="43" fillId="3" borderId="0" xfId="6" applyFont="1" applyFill="1" applyBorder="1" applyAlignment="1">
      <alignment horizontal="right" vertical="center" wrapText="1"/>
    </xf>
    <xf numFmtId="0" fontId="43" fillId="0" borderId="0" xfId="6" applyFont="1" applyFill="1" applyBorder="1" applyAlignment="1">
      <alignment horizontal="left" vertical="center"/>
    </xf>
    <xf numFmtId="0" fontId="44" fillId="0" borderId="0" xfId="5" applyFont="1" applyFill="1" applyBorder="1" applyAlignment="1">
      <alignment horizontal="center" vertical="center"/>
    </xf>
    <xf numFmtId="0" fontId="45" fillId="0" borderId="0" xfId="0" applyFont="1" applyAlignment="1">
      <alignment vertical="top"/>
    </xf>
    <xf numFmtId="0" fontId="46" fillId="0" borderId="0" xfId="5" applyFont="1" applyFill="1" applyBorder="1" applyAlignment="1">
      <alignment horizontal="left"/>
    </xf>
    <xf numFmtId="0" fontId="47" fillId="0" borderId="0" xfId="5" applyFont="1" applyFill="1" applyBorder="1" applyAlignment="1">
      <alignment horizontal="right"/>
    </xf>
    <xf numFmtId="0" fontId="48" fillId="0" borderId="0" xfId="5" applyFont="1" applyFill="1" applyBorder="1" applyAlignment="1">
      <alignment horizontal="left" vertical="center"/>
    </xf>
    <xf numFmtId="0" fontId="37" fillId="3" borderId="0" xfId="5" applyFont="1" applyFill="1" applyBorder="1" applyAlignment="1">
      <alignment horizontal="right" wrapText="1"/>
    </xf>
    <xf numFmtId="0" fontId="44" fillId="0" borderId="0" xfId="5" applyFont="1" applyFill="1" applyBorder="1" applyAlignment="1">
      <alignment horizontal="center"/>
    </xf>
    <xf numFmtId="0" fontId="49" fillId="0" borderId="0" xfId="3" applyFont="1" applyFill="1" applyBorder="1" applyAlignment="1">
      <alignment horizontal="left" vertical="center"/>
    </xf>
    <xf numFmtId="0" fontId="47" fillId="0" borderId="0" xfId="5" applyFont="1" applyFill="1" applyBorder="1"/>
    <xf numFmtId="0" fontId="50" fillId="0" borderId="0" xfId="5" applyFont="1" applyFill="1" applyBorder="1" applyAlignment="1">
      <alignment vertical="center"/>
    </xf>
    <xf numFmtId="0" fontId="51" fillId="0" borderId="0" xfId="5" applyFont="1" applyFill="1" applyBorder="1" applyAlignment="1">
      <alignment horizontal="centerContinuous" vertical="center"/>
    </xf>
    <xf numFmtId="0" fontId="51" fillId="3" borderId="0" xfId="5" applyFont="1" applyFill="1" applyBorder="1" applyAlignment="1">
      <alignment horizontal="centerContinuous" vertical="center" wrapText="1"/>
    </xf>
    <xf numFmtId="0" fontId="51" fillId="0" borderId="0" xfId="5" applyFont="1" applyFill="1" applyBorder="1" applyAlignment="1">
      <alignment horizontal="left" vertical="center"/>
    </xf>
    <xf numFmtId="0" fontId="37" fillId="0" borderId="0" xfId="5" applyFont="1" applyFill="1" applyBorder="1" applyAlignment="1">
      <alignment vertical="center"/>
    </xf>
    <xf numFmtId="0" fontId="37" fillId="0" borderId="0" xfId="5" applyFont="1" applyFill="1" applyBorder="1" applyAlignment="1">
      <alignment horizontal="right" vertical="center"/>
    </xf>
    <xf numFmtId="0" fontId="50" fillId="0" borderId="0" xfId="5" applyFont="1" applyFill="1" applyBorder="1"/>
    <xf numFmtId="0" fontId="51" fillId="0" borderId="0" xfId="5" quotePrefix="1" applyFont="1" applyFill="1" applyBorder="1" applyAlignment="1">
      <alignment horizontal="right"/>
    </xf>
    <xf numFmtId="0" fontId="51" fillId="3" borderId="0" xfId="5" quotePrefix="1" applyFont="1" applyFill="1" applyBorder="1" applyAlignment="1">
      <alignment horizontal="right" wrapText="1"/>
    </xf>
    <xf numFmtId="0" fontId="51" fillId="0" borderId="0" xfId="5" quotePrefix="1" applyFont="1" applyFill="1" applyBorder="1" applyAlignment="1">
      <alignment horizontal="left"/>
    </xf>
    <xf numFmtId="0" fontId="51" fillId="0" borderId="0" xfId="5" applyFont="1" applyFill="1" applyBorder="1" applyAlignment="1">
      <alignment horizontal="right"/>
    </xf>
    <xf numFmtId="164" fontId="38" fillId="0" borderId="0" xfId="7" applyNumberFormat="1" applyFont="1" applyFill="1" applyBorder="1" applyAlignment="1">
      <alignment horizontal="right"/>
    </xf>
    <xf numFmtId="165" fontId="37" fillId="0" borderId="0" xfId="7" applyNumberFormat="1" applyFont="1" applyFill="1" applyBorder="1" applyAlignment="1">
      <alignment horizontal="right"/>
    </xf>
    <xf numFmtId="164" fontId="52" fillId="0" borderId="0" xfId="7" applyNumberFormat="1" applyFont="1" applyFill="1" applyBorder="1" applyAlignment="1">
      <alignment horizontal="right"/>
    </xf>
    <xf numFmtId="165" fontId="53" fillId="3" borderId="0" xfId="7" applyNumberFormat="1" applyFont="1" applyFill="1" applyBorder="1" applyAlignment="1">
      <alignment horizontal="right" wrapText="1"/>
    </xf>
    <xf numFmtId="165" fontId="53" fillId="0" borderId="0" xfId="7" applyNumberFormat="1" applyFont="1" applyFill="1" applyBorder="1" applyAlignment="1">
      <alignment horizontal="left"/>
    </xf>
    <xf numFmtId="165" fontId="53" fillId="0" borderId="0" xfId="7" applyNumberFormat="1" applyFont="1" applyFill="1" applyBorder="1" applyAlignment="1">
      <alignment horizontal="right"/>
    </xf>
    <xf numFmtId="165" fontId="52" fillId="0" borderId="0" xfId="7" applyNumberFormat="1" applyFont="1" applyFill="1" applyBorder="1" applyAlignment="1">
      <alignment horizontal="right"/>
    </xf>
    <xf numFmtId="0" fontId="52" fillId="0" borderId="0" xfId="7" applyFont="1" applyFill="1" applyBorder="1" applyAlignment="1">
      <alignment horizontal="right"/>
    </xf>
    <xf numFmtId="6" fontId="53" fillId="0" borderId="0" xfId="7" applyNumberFormat="1" applyFont="1" applyFill="1" applyBorder="1" applyAlignment="1">
      <alignment horizontal="right"/>
    </xf>
    <xf numFmtId="0" fontId="51" fillId="0" borderId="0" xfId="5" applyFont="1" applyFill="1" applyBorder="1"/>
    <xf numFmtId="37" fontId="54" fillId="0" borderId="0" xfId="1" applyNumberFormat="1" applyFont="1"/>
    <xf numFmtId="37" fontId="55" fillId="0" borderId="0" xfId="1" applyNumberFormat="1" applyFont="1" applyFill="1"/>
    <xf numFmtId="164" fontId="52" fillId="0" borderId="0" xfId="5" applyNumberFormat="1" applyFont="1" applyFill="1" applyBorder="1" applyAlignment="1">
      <alignment horizontal="right"/>
    </xf>
    <xf numFmtId="0" fontId="37" fillId="3" borderId="0" xfId="5" applyFont="1" applyFill="1" applyBorder="1" applyAlignment="1">
      <alignment horizontal="right"/>
    </xf>
    <xf numFmtId="166" fontId="48" fillId="0" borderId="0" xfId="2" applyNumberFormat="1" applyFont="1" applyFill="1" applyBorder="1" applyAlignment="1">
      <alignment horizontal="right"/>
    </xf>
    <xf numFmtId="164" fontId="52" fillId="0" borderId="0" xfId="8" applyNumberFormat="1" applyFont="1" applyFill="1" applyBorder="1" applyAlignment="1">
      <alignment horizontal="right"/>
    </xf>
    <xf numFmtId="3" fontId="53" fillId="3" borderId="0" xfId="8" applyNumberFormat="1" applyFont="1" applyFill="1" applyBorder="1" applyAlignment="1">
      <alignment horizontal="right"/>
    </xf>
    <xf numFmtId="3" fontId="37" fillId="0" borderId="0" xfId="8" applyNumberFormat="1" applyFont="1" applyFill="1" applyBorder="1" applyAlignment="1">
      <alignment horizontal="left"/>
    </xf>
    <xf numFmtId="3" fontId="56" fillId="0" borderId="0" xfId="8" applyNumberFormat="1" applyFont="1" applyFill="1" applyBorder="1" applyAlignment="1">
      <alignment horizontal="right"/>
    </xf>
    <xf numFmtId="164" fontId="37" fillId="0" borderId="0" xfId="5" applyNumberFormat="1" applyFont="1" applyFill="1" applyBorder="1" applyAlignment="1">
      <alignment horizontal="right"/>
    </xf>
    <xf numFmtId="0" fontId="37" fillId="0" borderId="0" xfId="5" applyFont="1" applyFill="1" applyBorder="1" applyAlignment="1">
      <alignment horizontal="left" indent="1"/>
    </xf>
    <xf numFmtId="166" fontId="37" fillId="0" borderId="0" xfId="2" applyNumberFormat="1" applyFont="1" applyFill="1" applyBorder="1" applyAlignment="1">
      <alignment horizontal="right"/>
    </xf>
    <xf numFmtId="0" fontId="37" fillId="0" borderId="0" xfId="0" applyFont="1"/>
    <xf numFmtId="166" fontId="37" fillId="0" borderId="0" xfId="2" applyNumberFormat="1" applyFont="1" applyFill="1"/>
    <xf numFmtId="164" fontId="55" fillId="0" borderId="0" xfId="0" applyNumberFormat="1" applyFont="1"/>
    <xf numFmtId="169" fontId="37" fillId="0" borderId="0" xfId="0" applyNumberFormat="1" applyFont="1"/>
    <xf numFmtId="37" fontId="55" fillId="0" borderId="0" xfId="1" applyNumberFormat="1" applyFont="1"/>
    <xf numFmtId="164" fontId="37" fillId="0" borderId="0" xfId="2" applyNumberFormat="1" applyFont="1" applyFill="1"/>
    <xf numFmtId="0" fontId="55" fillId="0" borderId="0" xfId="0" applyFont="1"/>
    <xf numFmtId="164" fontId="57" fillId="0" borderId="0" xfId="5" applyNumberFormat="1" applyFont="1" applyFill="1" applyBorder="1" applyAlignment="1">
      <alignment horizontal="right"/>
    </xf>
    <xf numFmtId="164" fontId="48" fillId="0" borderId="0" xfId="2" applyNumberFormat="1" applyFont="1" applyFill="1" applyBorder="1" applyAlignment="1">
      <alignment horizontal="right"/>
    </xf>
    <xf numFmtId="164" fontId="38" fillId="0" borderId="0" xfId="8" applyNumberFormat="1" applyFont="1" applyFill="1" applyBorder="1" applyAlignment="1">
      <alignment horizontal="right"/>
    </xf>
    <xf numFmtId="164" fontId="37" fillId="0" borderId="0" xfId="8" applyNumberFormat="1" applyFont="1" applyFill="1" applyBorder="1" applyAlignment="1">
      <alignment horizontal="right"/>
    </xf>
    <xf numFmtId="166" fontId="37" fillId="0" borderId="0" xfId="2" applyNumberFormat="1" applyFont="1" applyAlignment="1">
      <alignment horizontal="right"/>
    </xf>
    <xf numFmtId="2" fontId="48" fillId="0" borderId="0" xfId="8" applyNumberFormat="1" applyFont="1" applyFill="1" applyBorder="1" applyAlignment="1">
      <alignment horizontal="right"/>
    </xf>
    <xf numFmtId="164" fontId="48" fillId="0" borderId="0" xfId="2" applyNumberFormat="1" applyFont="1" applyFill="1"/>
    <xf numFmtId="2" fontId="37" fillId="0" borderId="0" xfId="1" applyNumberFormat="1" applyFont="1" applyFill="1" applyBorder="1" applyAlignment="1">
      <alignment horizontal="right"/>
    </xf>
    <xf numFmtId="2" fontId="52" fillId="0" borderId="0" xfId="1" applyNumberFormat="1" applyFont="1" applyFill="1" applyBorder="1" applyAlignment="1">
      <alignment horizontal="right"/>
    </xf>
    <xf numFmtId="167" fontId="48" fillId="0" borderId="0" xfId="8" applyNumberFormat="1" applyFont="1" applyFill="1" applyBorder="1" applyAlignment="1">
      <alignment horizontal="right"/>
    </xf>
    <xf numFmtId="164" fontId="48" fillId="0" borderId="0" xfId="8" applyNumberFormat="1" applyFont="1" applyFill="1" applyBorder="1" applyAlignment="1">
      <alignment horizontal="right"/>
    </xf>
    <xf numFmtId="168" fontId="58" fillId="0" borderId="0" xfId="8" applyNumberFormat="1" applyFont="1" applyFill="1" applyBorder="1" applyAlignment="1">
      <alignment horizontal="right"/>
    </xf>
    <xf numFmtId="168" fontId="59" fillId="3" borderId="0" xfId="8" applyNumberFormat="1" applyFont="1" applyFill="1" applyBorder="1" applyAlignment="1">
      <alignment horizontal="right"/>
    </xf>
    <xf numFmtId="168" fontId="51" fillId="0" borderId="0" xfId="8" applyNumberFormat="1" applyFont="1" applyFill="1" applyBorder="1" applyAlignment="1">
      <alignment horizontal="left"/>
    </xf>
    <xf numFmtId="4" fontId="60" fillId="0" borderId="0" xfId="8" applyNumberFormat="1" applyFont="1" applyFill="1" applyBorder="1" applyAlignment="1">
      <alignment horizontal="right"/>
    </xf>
    <xf numFmtId="0" fontId="51" fillId="0" borderId="0" xfId="5" applyNumberFormat="1" applyFont="1" applyFill="1" applyBorder="1"/>
    <xf numFmtId="166" fontId="52" fillId="0" borderId="0" xfId="2" applyNumberFormat="1" applyFont="1" applyFill="1" applyBorder="1" applyAlignment="1">
      <alignment horizontal="right"/>
    </xf>
    <xf numFmtId="164" fontId="61" fillId="0" borderId="0" xfId="8" applyNumberFormat="1" applyFont="1" applyFill="1" applyBorder="1" applyAlignment="1">
      <alignment horizontal="right"/>
    </xf>
    <xf numFmtId="164" fontId="51" fillId="0" borderId="0" xfId="8" applyNumberFormat="1" applyFont="1" applyFill="1" applyBorder="1" applyAlignment="1">
      <alignment horizontal="right"/>
    </xf>
    <xf numFmtId="164" fontId="58" fillId="0" borderId="0" xfId="8" applyNumberFormat="1" applyFont="1" applyFill="1" applyBorder="1" applyAlignment="1">
      <alignment horizontal="right"/>
    </xf>
    <xf numFmtId="3" fontId="59" fillId="3" borderId="0" xfId="8" applyNumberFormat="1" applyFont="1" applyFill="1" applyBorder="1" applyAlignment="1">
      <alignment horizontal="right"/>
    </xf>
    <xf numFmtId="3" fontId="51" fillId="0" borderId="0" xfId="8" applyNumberFormat="1" applyFont="1" applyFill="1" applyBorder="1" applyAlignment="1">
      <alignment horizontal="left"/>
    </xf>
    <xf numFmtId="3" fontId="60" fillId="0" borderId="0" xfId="8" applyNumberFormat="1" applyFont="1" applyFill="1" applyBorder="1" applyAlignment="1">
      <alignment horizontal="right"/>
    </xf>
    <xf numFmtId="0" fontId="55" fillId="0" borderId="0" xfId="0" applyFont="1" applyAlignment="1">
      <alignment vertical="center"/>
    </xf>
    <xf numFmtId="169" fontId="48" fillId="0" borderId="0" xfId="0" applyNumberFormat="1" applyFont="1"/>
    <xf numFmtId="169" fontId="37" fillId="0" borderId="0" xfId="8" applyNumberFormat="1" applyFont="1" applyFill="1" applyBorder="1" applyAlignment="1">
      <alignment horizontal="right"/>
    </xf>
    <xf numFmtId="4" fontId="37" fillId="0" borderId="0" xfId="5" applyNumberFormat="1" applyFont="1" applyFill="1" applyBorder="1"/>
    <xf numFmtId="170" fontId="38" fillId="0" borderId="0" xfId="1" applyNumberFormat="1" applyFont="1" applyFill="1" applyBorder="1" applyAlignment="1">
      <alignment horizontal="right"/>
    </xf>
    <xf numFmtId="169" fontId="48" fillId="0" borderId="0" xfId="8" applyNumberFormat="1" applyFont="1" applyFill="1" applyBorder="1" applyAlignment="1">
      <alignment horizontal="right"/>
    </xf>
    <xf numFmtId="169" fontId="52" fillId="0" borderId="0" xfId="8" applyNumberFormat="1" applyFont="1" applyFill="1" applyBorder="1" applyAlignment="1">
      <alignment horizontal="right"/>
    </xf>
    <xf numFmtId="169" fontId="53" fillId="3" borderId="0" xfId="8" applyNumberFormat="1" applyFont="1" applyFill="1" applyBorder="1" applyAlignment="1">
      <alignment horizontal="right"/>
    </xf>
    <xf numFmtId="169" fontId="37" fillId="0" borderId="0" xfId="8" applyNumberFormat="1" applyFont="1" applyFill="1" applyBorder="1" applyAlignment="1">
      <alignment horizontal="left"/>
    </xf>
    <xf numFmtId="0" fontId="37" fillId="0" borderId="0" xfId="5" applyNumberFormat="1" applyFont="1" applyFill="1" applyBorder="1"/>
    <xf numFmtId="4" fontId="37" fillId="5" borderId="0" xfId="5" applyNumberFormat="1" applyFont="1" applyFill="1" applyBorder="1" applyAlignment="1">
      <alignment horizontal="left" indent="1"/>
    </xf>
    <xf numFmtId="4" fontId="51" fillId="0" borderId="0" xfId="5" applyNumberFormat="1" applyFont="1" applyFill="1" applyBorder="1" applyAlignment="1">
      <alignment horizontal="left"/>
    </xf>
    <xf numFmtId="168" fontId="61" fillId="0" borderId="0" xfId="1" applyNumberFormat="1" applyFont="1" applyFill="1" applyBorder="1" applyAlignment="1">
      <alignment horizontal="right"/>
    </xf>
    <xf numFmtId="168" fontId="51" fillId="0" borderId="0" xfId="8" applyNumberFormat="1" applyFont="1" applyFill="1" applyBorder="1" applyAlignment="1">
      <alignment horizontal="right"/>
    </xf>
    <xf numFmtId="0" fontId="56" fillId="0" borderId="0" xfId="5" applyNumberFormat="1" applyFont="1" applyFill="1" applyBorder="1" applyAlignment="1">
      <alignment horizontal="right"/>
    </xf>
    <xf numFmtId="0" fontId="51" fillId="0" borderId="0" xfId="4" applyFont="1" applyFill="1" applyBorder="1" applyAlignment="1">
      <alignment vertical="center"/>
    </xf>
    <xf numFmtId="0" fontId="55" fillId="0" borderId="0" xfId="0" quotePrefix="1" applyFont="1"/>
    <xf numFmtId="49" fontId="37" fillId="3" borderId="0" xfId="5" applyNumberFormat="1" applyFont="1" applyFill="1" applyBorder="1" applyAlignment="1">
      <alignment horizontal="right" vertical="center"/>
    </xf>
    <xf numFmtId="49" fontId="37" fillId="0" borderId="0" xfId="5" applyNumberFormat="1" applyFont="1" applyFill="1" applyBorder="1" applyAlignment="1">
      <alignment horizontal="left" vertical="center"/>
    </xf>
    <xf numFmtId="164" fontId="52" fillId="0" borderId="0" xfId="5" applyNumberFormat="1" applyFont="1" applyFill="1" applyBorder="1" applyAlignment="1">
      <alignment horizontal="right" vertical="center"/>
    </xf>
    <xf numFmtId="49" fontId="56" fillId="0" borderId="0" xfId="5" applyNumberFormat="1" applyFont="1" applyFill="1" applyBorder="1" applyAlignment="1">
      <alignment horizontal="right" vertical="center"/>
    </xf>
    <xf numFmtId="49" fontId="37" fillId="0" borderId="0" xfId="5" applyNumberFormat="1" applyFont="1" applyFill="1" applyBorder="1"/>
    <xf numFmtId="49" fontId="37" fillId="0" borderId="0" xfId="5" applyNumberFormat="1" applyFont="1" applyFill="1" applyBorder="1" applyAlignment="1">
      <alignment horizontal="left" indent="1"/>
    </xf>
    <xf numFmtId="49" fontId="51" fillId="0" borderId="0" xfId="5" applyNumberFormat="1" applyFont="1" applyFill="1" applyBorder="1"/>
    <xf numFmtId="3" fontId="37" fillId="3" borderId="0" xfId="5" applyNumberFormat="1" applyFont="1" applyFill="1" applyBorder="1" applyAlignment="1">
      <alignment horizontal="right"/>
    </xf>
    <xf numFmtId="3" fontId="37" fillId="0" borderId="0" xfId="5" applyNumberFormat="1" applyFont="1" applyFill="1" applyBorder="1" applyAlignment="1">
      <alignment horizontal="left"/>
    </xf>
    <xf numFmtId="3" fontId="56" fillId="0" borderId="0" xfId="5" applyNumberFormat="1" applyFont="1" applyFill="1" applyBorder="1" applyAlignment="1">
      <alignment horizontal="right"/>
    </xf>
    <xf numFmtId="166" fontId="48" fillId="0" borderId="0" xfId="2" applyNumberFormat="1" applyFont="1" applyFill="1"/>
    <xf numFmtId="166" fontId="48" fillId="0" borderId="0" xfId="2" applyNumberFormat="1" applyFont="1"/>
    <xf numFmtId="3" fontId="37" fillId="3" borderId="0" xfId="8" applyNumberFormat="1" applyFont="1" applyFill="1" applyBorder="1" applyAlignment="1">
      <alignment horizontal="right"/>
    </xf>
    <xf numFmtId="9" fontId="37" fillId="0" borderId="0" xfId="2" applyFont="1" applyFill="1" applyBorder="1" applyAlignment="1">
      <alignment horizontal="right"/>
    </xf>
    <xf numFmtId="168" fontId="38" fillId="0" borderId="0" xfId="8" applyNumberFormat="1" applyFont="1" applyFill="1" applyBorder="1" applyAlignment="1">
      <alignment horizontal="right"/>
    </xf>
    <xf numFmtId="0" fontId="39" fillId="0" borderId="0" xfId="5" applyFont="1" applyFill="1" applyBorder="1" applyAlignment="1">
      <alignment horizontal="right"/>
    </xf>
    <xf numFmtId="10" fontId="55" fillId="0" borderId="0" xfId="2" applyNumberFormat="1" applyFont="1" applyFill="1"/>
    <xf numFmtId="49" fontId="2" fillId="0" borderId="0" xfId="5" applyNumberFormat="1" applyFont="1" applyFill="1" applyBorder="1" applyAlignment="1">
      <alignment horizontal="left" indent="1"/>
    </xf>
    <xf numFmtId="0" fontId="39" fillId="0" borderId="0" xfId="5" applyFont="1" applyFill="1" applyBorder="1" applyAlignment="1">
      <alignment horizontal="right" indent="1"/>
    </xf>
    <xf numFmtId="171" fontId="52" fillId="0" borderId="0" xfId="2" applyNumberFormat="1" applyFont="1" applyFill="1" applyBorder="1" applyAlignment="1">
      <alignment horizontal="right"/>
    </xf>
    <xf numFmtId="0" fontId="2" fillId="7" borderId="0" xfId="0" applyFont="1" applyFill="1"/>
    <xf numFmtId="3" fontId="2" fillId="7" borderId="0" xfId="1" applyNumberFormat="1" applyFont="1" applyFill="1"/>
    <xf numFmtId="0" fontId="2" fillId="7" borderId="0" xfId="0" applyFont="1" applyFill="1" applyAlignment="1">
      <alignment horizontal="left" indent="1"/>
    </xf>
    <xf numFmtId="166" fontId="2" fillId="7" borderId="0" xfId="2" applyNumberFormat="1" applyFont="1" applyFill="1"/>
    <xf numFmtId="164" fontId="2" fillId="7" borderId="0" xfId="0" applyNumberFormat="1" applyFont="1" applyFill="1"/>
    <xf numFmtId="3" fontId="53" fillId="0" borderId="0" xfId="8" applyNumberFormat="1" applyFont="1" applyFill="1" applyBorder="1" applyAlignment="1">
      <alignment horizontal="right"/>
    </xf>
    <xf numFmtId="164" fontId="2" fillId="0" borderId="0" xfId="0" applyNumberFormat="1" applyFont="1"/>
    <xf numFmtId="0" fontId="2" fillId="0" borderId="0" xfId="0" applyFont="1" applyAlignment="1">
      <alignment horizontal="left" indent="1"/>
    </xf>
    <xf numFmtId="3" fontId="2" fillId="0" borderId="0" xfId="1" applyNumberFormat="1" applyFont="1" applyFill="1"/>
    <xf numFmtId="10" fontId="37" fillId="0" borderId="0" xfId="2" applyNumberFormat="1" applyFont="1" applyFill="1" applyBorder="1" applyAlignment="1">
      <alignment horizontal="right"/>
    </xf>
    <xf numFmtId="0" fontId="22" fillId="0" borderId="0" xfId="0" applyFont="1"/>
    <xf numFmtId="164" fontId="22" fillId="0" borderId="0" xfId="0" applyNumberFormat="1" applyFont="1"/>
    <xf numFmtId="166" fontId="62" fillId="0" borderId="0" xfId="2" applyNumberFormat="1" applyFont="1"/>
    <xf numFmtId="164" fontId="0" fillId="0" borderId="0" xfId="0" applyNumberFormat="1"/>
    <xf numFmtId="166" fontId="62" fillId="0" borderId="0" xfId="0" applyNumberFormat="1" applyFont="1"/>
    <xf numFmtId="164" fontId="48" fillId="0" borderId="0" xfId="5" applyNumberFormat="1" applyFont="1" applyFill="1" applyBorder="1" applyAlignment="1">
      <alignment horizontal="right"/>
    </xf>
    <xf numFmtId="0" fontId="12" fillId="0" borderId="0" xfId="0" applyFont="1"/>
    <xf numFmtId="10" fontId="52" fillId="0" borderId="0" xfId="2" applyNumberFormat="1" applyFont="1" applyFill="1" applyBorder="1" applyAlignment="1">
      <alignment horizontal="right"/>
    </xf>
    <xf numFmtId="164" fontId="39" fillId="0" borderId="0" xfId="8" applyNumberFormat="1" applyFont="1" applyFill="1" applyBorder="1" applyAlignment="1">
      <alignment horizontal="right"/>
    </xf>
    <xf numFmtId="166" fontId="51" fillId="0" borderId="0" xfId="2" applyNumberFormat="1" applyFont="1" applyFill="1" applyBorder="1" applyAlignment="1">
      <alignment horizontal="right"/>
    </xf>
    <xf numFmtId="168" fontId="39" fillId="0" borderId="0" xfId="2" applyNumberFormat="1" applyFont="1" applyFill="1" applyBorder="1" applyAlignment="1">
      <alignment horizontal="right"/>
    </xf>
    <xf numFmtId="164" fontId="39" fillId="0" borderId="0" xfId="2" applyNumberFormat="1" applyFont="1" applyFill="1" applyBorder="1" applyAlignment="1">
      <alignment horizontal="right"/>
    </xf>
    <xf numFmtId="164" fontId="64" fillId="0" borderId="0" xfId="8" applyNumberFormat="1" applyFont="1" applyFill="1" applyBorder="1" applyAlignment="1">
      <alignment horizontal="right"/>
    </xf>
    <xf numFmtId="3" fontId="65" fillId="3" borderId="0" xfId="8" applyNumberFormat="1" applyFont="1" applyFill="1" applyBorder="1" applyAlignment="1">
      <alignment horizontal="right"/>
    </xf>
    <xf numFmtId="3" fontId="66" fillId="0" borderId="0" xfId="8" applyNumberFormat="1" applyFont="1" applyFill="1" applyBorder="1" applyAlignment="1">
      <alignment horizontal="left"/>
    </xf>
    <xf numFmtId="3" fontId="67" fillId="0" borderId="0" xfId="8" applyNumberFormat="1" applyFont="1" applyFill="1" applyBorder="1" applyAlignment="1">
      <alignment horizontal="right"/>
    </xf>
    <xf numFmtId="0" fontId="66" fillId="0" borderId="0" xfId="5" applyFont="1" applyFill="1" applyBorder="1"/>
    <xf numFmtId="164" fontId="68" fillId="0" borderId="0" xfId="8" applyNumberFormat="1" applyFont="1" applyFill="1" applyBorder="1" applyAlignment="1">
      <alignment horizontal="right"/>
    </xf>
    <xf numFmtId="164" fontId="50" fillId="0" borderId="0" xfId="8" applyNumberFormat="1" applyFont="1" applyFill="1" applyBorder="1" applyAlignment="1">
      <alignment horizontal="right"/>
    </xf>
    <xf numFmtId="3" fontId="69" fillId="3" borderId="0" xfId="8" applyNumberFormat="1" applyFont="1" applyFill="1" applyBorder="1" applyAlignment="1">
      <alignment horizontal="right"/>
    </xf>
    <xf numFmtId="3" fontId="50" fillId="0" borderId="0" xfId="8" applyNumberFormat="1" applyFont="1" applyFill="1" applyBorder="1" applyAlignment="1">
      <alignment horizontal="left"/>
    </xf>
    <xf numFmtId="164" fontId="68" fillId="0" borderId="0" xfId="5" applyNumberFormat="1" applyFont="1" applyFill="1" applyBorder="1" applyAlignment="1">
      <alignment horizontal="right"/>
    </xf>
    <xf numFmtId="3" fontId="70" fillId="0" borderId="0" xfId="8" applyNumberFormat="1" applyFont="1" applyFill="1" applyBorder="1" applyAlignment="1">
      <alignment horizontal="right"/>
    </xf>
    <xf numFmtId="0" fontId="71" fillId="0" borderId="0" xfId="0" applyFont="1"/>
    <xf numFmtId="9" fontId="48" fillId="0" borderId="0" xfId="2" applyFont="1" applyFill="1"/>
    <xf numFmtId="164" fontId="50" fillId="8" borderId="0" xfId="8" applyNumberFormat="1" applyFont="1" applyFill="1" applyBorder="1" applyAlignment="1">
      <alignment horizontal="right"/>
    </xf>
    <xf numFmtId="169" fontId="50" fillId="8" borderId="0" xfId="8" applyNumberFormat="1" applyFont="1" applyFill="1" applyBorder="1" applyAlignment="1">
      <alignment horizontal="right"/>
    </xf>
    <xf numFmtId="164" fontId="11" fillId="0" borderId="0" xfId="8" applyNumberFormat="1" applyFont="1" applyFill="1" applyAlignment="1">
      <alignment horizontal="right"/>
    </xf>
    <xf numFmtId="3" fontId="24" fillId="3" borderId="0" xfId="8" applyNumberFormat="1" applyFont="1" applyFill="1" applyAlignment="1">
      <alignment horizontal="right"/>
    </xf>
    <xf numFmtId="3" fontId="2" fillId="0" borderId="0" xfId="8" applyNumberFormat="1" applyFont="1" applyFill="1" applyAlignment="1">
      <alignment horizontal="left"/>
    </xf>
    <xf numFmtId="3" fontId="6" fillId="0" borderId="0" xfId="8" applyNumberFormat="1" applyFont="1" applyFill="1" applyAlignment="1">
      <alignment horizontal="right"/>
    </xf>
    <xf numFmtId="0" fontId="2" fillId="0" borderId="0" xfId="5" applyFont="1" applyFill="1"/>
    <xf numFmtId="166" fontId="2" fillId="0" borderId="0" xfId="2" applyNumberFormat="1" applyFont="1"/>
    <xf numFmtId="164" fontId="2" fillId="7" borderId="0" xfId="1" applyNumberFormat="1" applyFont="1" applyFill="1"/>
    <xf numFmtId="9" fontId="2" fillId="0" borderId="0" xfId="2" applyFont="1"/>
    <xf numFmtId="0" fontId="2" fillId="7" borderId="0" xfId="0" applyFont="1" applyFill="1" applyAlignment="1">
      <alignment horizontal="left"/>
    </xf>
    <xf numFmtId="165" fontId="0" fillId="0" borderId="0" xfId="0" applyNumberFormat="1"/>
    <xf numFmtId="6" fontId="0" fillId="0" borderId="0" xfId="0" applyNumberFormat="1"/>
    <xf numFmtId="172" fontId="0" fillId="0" borderId="0" xfId="1" applyNumberFormat="1" applyFont="1"/>
    <xf numFmtId="165" fontId="0" fillId="9" borderId="0" xfId="0" applyNumberFormat="1" applyFill="1"/>
    <xf numFmtId="0" fontId="0" fillId="0" borderId="0" xfId="0" applyAlignment="1">
      <alignment horizontal="left" indent="1"/>
    </xf>
    <xf numFmtId="0" fontId="31" fillId="0" borderId="0" xfId="0" applyFont="1"/>
    <xf numFmtId="14" fontId="0" fillId="0" borderId="0" xfId="0" applyNumberFormat="1"/>
    <xf numFmtId="9" fontId="0" fillId="0" borderId="0" xfId="2" applyFont="1"/>
    <xf numFmtId="0" fontId="0" fillId="0" borderId="0" xfId="0" applyAlignment="1">
      <alignment horizontal="left"/>
    </xf>
    <xf numFmtId="9" fontId="2" fillId="7" borderId="0" xfId="2" applyFont="1" applyFill="1"/>
    <xf numFmtId="3" fontId="62" fillId="7" borderId="0" xfId="1" applyNumberFormat="1" applyFont="1" applyFill="1"/>
    <xf numFmtId="0" fontId="62" fillId="7" borderId="0" xfId="0" applyFont="1" applyFill="1"/>
    <xf numFmtId="44" fontId="2" fillId="7" borderId="0" xfId="10" applyFont="1" applyFill="1"/>
    <xf numFmtId="9" fontId="62" fillId="7" borderId="0" xfId="2" applyFont="1" applyFill="1"/>
    <xf numFmtId="166" fontId="62" fillId="7" borderId="0" xfId="2" applyNumberFormat="1" applyFont="1" applyFill="1"/>
    <xf numFmtId="172" fontId="0" fillId="0" borderId="0" xfId="0" applyNumberFormat="1"/>
    <xf numFmtId="0" fontId="31" fillId="0" borderId="0" xfId="0" applyFont="1" applyAlignment="1">
      <alignment horizontal="left" indent="1"/>
    </xf>
    <xf numFmtId="172" fontId="31" fillId="0" borderId="0" xfId="2" applyNumberFormat="1" applyFont="1"/>
    <xf numFmtId="172" fontId="0" fillId="0" borderId="0" xfId="1" applyNumberFormat="1" applyFont="1" applyAlignment="1">
      <alignment horizontal="left" indent="1"/>
    </xf>
    <xf numFmtId="172" fontId="0" fillId="0" borderId="0" xfId="1" applyNumberFormat="1" applyFont="1" applyAlignment="1">
      <alignment horizontal="left" indent="2"/>
    </xf>
    <xf numFmtId="172" fontId="0" fillId="0" borderId="0" xfId="1" applyNumberFormat="1" applyFont="1" applyAlignment="1">
      <alignment horizontal="left" indent="3"/>
    </xf>
    <xf numFmtId="172" fontId="31" fillId="0" borderId="0" xfId="1" applyNumberFormat="1" applyFont="1"/>
    <xf numFmtId="172" fontId="0" fillId="6" borderId="0" xfId="1" applyNumberFormat="1" applyFont="1" applyFill="1"/>
    <xf numFmtId="0" fontId="63" fillId="0" borderId="0" xfId="9" applyAlignment="1">
      <alignment horizontal="left" indent="1"/>
    </xf>
    <xf numFmtId="169" fontId="63" fillId="0" borderId="0" xfId="9" applyNumberFormat="1" applyAlignment="1">
      <alignment horizontal="right"/>
    </xf>
    <xf numFmtId="170" fontId="0" fillId="0" borderId="0" xfId="1" applyNumberFormat="1" applyFont="1"/>
    <xf numFmtId="43" fontId="0" fillId="0" borderId="0" xfId="1" applyFont="1"/>
    <xf numFmtId="172" fontId="0" fillId="0" borderId="0" xfId="1" applyNumberFormat="1" applyFont="1" applyAlignment="1">
      <alignment horizontal="right"/>
    </xf>
    <xf numFmtId="43" fontId="0" fillId="0" borderId="0" xfId="0" applyNumberFormat="1"/>
    <xf numFmtId="166" fontId="48" fillId="0" borderId="0" xfId="2" applyNumberFormat="1" applyFont="1" applyAlignment="1">
      <alignment horizontal="right"/>
    </xf>
    <xf numFmtId="166" fontId="55" fillId="0" borderId="0" xfId="2" applyNumberFormat="1" applyFont="1"/>
    <xf numFmtId="0" fontId="72" fillId="0" borderId="0" xfId="0" applyFont="1"/>
    <xf numFmtId="0" fontId="73" fillId="0" borderId="0" xfId="9" applyFont="1" applyAlignment="1">
      <alignment horizontal="left"/>
    </xf>
    <xf numFmtId="0" fontId="72" fillId="0" borderId="0" xfId="9" applyFont="1" applyAlignment="1">
      <alignment horizontal="left" indent="1"/>
    </xf>
    <xf numFmtId="4" fontId="72" fillId="0" borderId="0" xfId="9" applyNumberFormat="1" applyFont="1" applyAlignment="1">
      <alignment horizontal="right"/>
    </xf>
    <xf numFmtId="0" fontId="72" fillId="0" borderId="0" xfId="9" applyFont="1" applyAlignment="1">
      <alignment horizontal="left"/>
    </xf>
    <xf numFmtId="3" fontId="72" fillId="0" borderId="0" xfId="9" applyNumberFormat="1" applyFont="1" applyAlignment="1">
      <alignment horizontal="right"/>
    </xf>
    <xf numFmtId="4" fontId="72" fillId="6" borderId="0" xfId="9" applyNumberFormat="1" applyFont="1" applyFill="1" applyAlignment="1">
      <alignment horizontal="right"/>
    </xf>
    <xf numFmtId="9" fontId="72" fillId="0" borderId="0" xfId="2" applyFont="1" applyAlignment="1">
      <alignment horizontal="right"/>
    </xf>
    <xf numFmtId="9" fontId="72" fillId="0" borderId="0" xfId="0" applyNumberFormat="1" applyFont="1"/>
    <xf numFmtId="9" fontId="72" fillId="0" borderId="0" xfId="2" applyFont="1"/>
    <xf numFmtId="168" fontId="72" fillId="0" borderId="0" xfId="0" applyNumberFormat="1" applyFont="1"/>
    <xf numFmtId="168" fontId="72" fillId="0" borderId="0" xfId="10" applyNumberFormat="1" applyFont="1"/>
    <xf numFmtId="4" fontId="0" fillId="0" borderId="0" xfId="0" applyNumberFormat="1"/>
    <xf numFmtId="0" fontId="26" fillId="0" borderId="0" xfId="9" applyFont="1"/>
    <xf numFmtId="0" fontId="63" fillId="0" borderId="0" xfId="9"/>
    <xf numFmtId="0" fontId="63" fillId="0" borderId="5" xfId="9" applyBorder="1"/>
    <xf numFmtId="0" fontId="63" fillId="0" borderId="6" xfId="9" applyBorder="1"/>
    <xf numFmtId="0" fontId="26" fillId="12" borderId="0" xfId="9" applyFont="1" applyFill="1" applyAlignment="1">
      <alignment horizontal="left"/>
    </xf>
    <xf numFmtId="0" fontId="74" fillId="13" borderId="0" xfId="9" applyFont="1" applyFill="1" applyAlignment="1">
      <alignment horizontal="left"/>
    </xf>
    <xf numFmtId="0" fontId="74" fillId="0" borderId="0" xfId="9" applyFont="1" applyAlignment="1">
      <alignment horizontal="left" indent="3"/>
    </xf>
    <xf numFmtId="0" fontId="63" fillId="13" borderId="0" xfId="9" applyFill="1" applyAlignment="1">
      <alignment horizontal="left" indent="4"/>
    </xf>
    <xf numFmtId="0" fontId="63" fillId="13" borderId="0" xfId="9" applyFill="1" applyAlignment="1">
      <alignment horizontal="left"/>
    </xf>
    <xf numFmtId="0" fontId="63" fillId="0" borderId="0" xfId="9" applyAlignment="1">
      <alignment horizontal="left" indent="4"/>
    </xf>
    <xf numFmtId="0" fontId="74" fillId="13" borderId="0" xfId="9" applyFont="1" applyFill="1" applyAlignment="1">
      <alignment horizontal="left" indent="6"/>
    </xf>
    <xf numFmtId="169" fontId="74" fillId="13" borderId="0" xfId="9" applyNumberFormat="1" applyFont="1" applyFill="1" applyAlignment="1">
      <alignment horizontal="right"/>
    </xf>
    <xf numFmtId="0" fontId="63" fillId="0" borderId="0" xfId="9" applyAlignment="1">
      <alignment horizontal="left" indent="7"/>
    </xf>
    <xf numFmtId="0" fontId="63" fillId="0" borderId="0" xfId="9" applyAlignment="1">
      <alignment horizontal="left"/>
    </xf>
    <xf numFmtId="0" fontId="63" fillId="13" borderId="0" xfId="9" applyFill="1" applyAlignment="1">
      <alignment horizontal="left" indent="7"/>
    </xf>
    <xf numFmtId="0" fontId="74" fillId="0" borderId="0" xfId="9" applyFont="1" applyAlignment="1">
      <alignment horizontal="left" indent="6"/>
    </xf>
    <xf numFmtId="0" fontId="74" fillId="0" borderId="0" xfId="9" applyFont="1" applyAlignment="1">
      <alignment horizontal="left"/>
    </xf>
    <xf numFmtId="0" fontId="63" fillId="13" borderId="0" xfId="9" applyFill="1" applyAlignment="1">
      <alignment horizontal="left" indent="1"/>
    </xf>
    <xf numFmtId="169" fontId="74" fillId="0" borderId="0" xfId="9" applyNumberFormat="1" applyFont="1" applyAlignment="1">
      <alignment horizontal="right"/>
    </xf>
    <xf numFmtId="0" fontId="74" fillId="13" borderId="0" xfId="9" applyFont="1" applyFill="1" applyAlignment="1">
      <alignment horizontal="left" indent="3"/>
    </xf>
    <xf numFmtId="0" fontId="74" fillId="0" borderId="0" xfId="9" applyFont="1" applyAlignment="1">
      <alignment horizontal="left" indent="9"/>
    </xf>
    <xf numFmtId="0" fontId="63" fillId="13" borderId="0" xfId="9" applyFill="1" applyAlignment="1">
      <alignment horizontal="left" indent="10"/>
    </xf>
    <xf numFmtId="0" fontId="63" fillId="0" borderId="0" xfId="9" applyAlignment="1">
      <alignment horizontal="left" indent="10"/>
    </xf>
    <xf numFmtId="0" fontId="75" fillId="0" borderId="0" xfId="9" applyFont="1" applyAlignment="1">
      <alignment horizontal="left"/>
    </xf>
    <xf numFmtId="173" fontId="48" fillId="0" borderId="0" xfId="2" applyNumberFormat="1" applyFont="1" applyAlignment="1">
      <alignment horizontal="right"/>
    </xf>
    <xf numFmtId="0" fontId="2" fillId="7" borderId="0" xfId="0" applyFont="1" applyFill="1" applyAlignment="1">
      <alignment horizontal="left" indent="2"/>
    </xf>
    <xf numFmtId="174" fontId="2" fillId="7" borderId="0" xfId="2" applyNumberFormat="1" applyFont="1" applyFill="1"/>
    <xf numFmtId="0" fontId="72" fillId="0" borderId="0" xfId="11" applyFont="1"/>
    <xf numFmtId="0" fontId="76" fillId="10" borderId="0" xfId="11" applyFont="1" applyFill="1"/>
    <xf numFmtId="0" fontId="76" fillId="10" borderId="4" xfId="11" applyFont="1" applyFill="1" applyBorder="1"/>
    <xf numFmtId="15" fontId="76" fillId="10" borderId="0" xfId="11" applyNumberFormat="1" applyFont="1" applyFill="1"/>
    <xf numFmtId="15" fontId="72" fillId="0" borderId="0" xfId="11" applyNumberFormat="1" applyFont="1"/>
    <xf numFmtId="0" fontId="76" fillId="10" borderId="0" xfId="11" applyFont="1" applyFill="1" applyAlignment="1">
      <alignment horizontal="center"/>
    </xf>
    <xf numFmtId="172" fontId="72" fillId="0" borderId="0" xfId="12" applyNumberFormat="1" applyFont="1" applyFill="1"/>
    <xf numFmtId="0" fontId="77" fillId="14" borderId="0" xfId="11" applyFont="1" applyFill="1"/>
    <xf numFmtId="0" fontId="72" fillId="7" borderId="0" xfId="12" applyNumberFormat="1" applyFont="1" applyFill="1"/>
    <xf numFmtId="0" fontId="72" fillId="7" borderId="0" xfId="11" applyFont="1" applyFill="1"/>
    <xf numFmtId="0" fontId="72" fillId="0" borderId="0" xfId="11" applyFont="1" applyAlignment="1">
      <alignment horizontal="right"/>
    </xf>
    <xf numFmtId="172" fontId="72" fillId="7" borderId="0" xfId="12" applyNumberFormat="1" applyFont="1" applyFill="1"/>
    <xf numFmtId="0" fontId="72" fillId="0" borderId="3" xfId="11" applyFont="1" applyBorder="1"/>
    <xf numFmtId="172" fontId="72" fillId="7" borderId="3" xfId="12" applyNumberFormat="1" applyFont="1" applyFill="1" applyBorder="1"/>
    <xf numFmtId="172" fontId="72" fillId="0" borderId="0" xfId="1" applyNumberFormat="1" applyFont="1"/>
    <xf numFmtId="172" fontId="72" fillId="7" borderId="0" xfId="11" applyNumberFormat="1" applyFont="1" applyFill="1"/>
    <xf numFmtId="0" fontId="77" fillId="11" borderId="0" xfId="11" applyFont="1" applyFill="1"/>
    <xf numFmtId="0" fontId="77" fillId="11" borderId="0" xfId="11" applyFont="1" applyFill="1" applyAlignment="1">
      <alignment horizontal="center"/>
    </xf>
    <xf numFmtId="0" fontId="78" fillId="0" borderId="0" xfId="11" applyFont="1"/>
    <xf numFmtId="0" fontId="78" fillId="0" borderId="0" xfId="11" applyFont="1" applyAlignment="1">
      <alignment horizontal="center"/>
    </xf>
    <xf numFmtId="10" fontId="72" fillId="0" borderId="0" xfId="11" applyNumberFormat="1" applyFont="1"/>
    <xf numFmtId="10" fontId="76" fillId="0" borderId="0" xfId="11" applyNumberFormat="1" applyFont="1"/>
    <xf numFmtId="10" fontId="72" fillId="7" borderId="0" xfId="11" applyNumberFormat="1" applyFont="1" applyFill="1"/>
    <xf numFmtId="4" fontId="72" fillId="7" borderId="0" xfId="11" applyNumberFormat="1" applyFont="1" applyFill="1"/>
    <xf numFmtId="9" fontId="76" fillId="10" borderId="0" xfId="2" applyFont="1" applyFill="1"/>
    <xf numFmtId="9" fontId="72" fillId="7" borderId="0" xfId="2" applyFont="1" applyFill="1"/>
    <xf numFmtId="172" fontId="72" fillId="0" borderId="0" xfId="11" applyNumberFormat="1" applyFont="1"/>
    <xf numFmtId="172" fontId="72" fillId="0" borderId="3" xfId="11" applyNumberFormat="1" applyFont="1" applyBorder="1"/>
    <xf numFmtId="172" fontId="72" fillId="0" borderId="3" xfId="12" applyNumberFormat="1" applyFont="1" applyFill="1" applyBorder="1"/>
    <xf numFmtId="43" fontId="72" fillId="0" borderId="0" xfId="11" applyNumberFormat="1" applyFont="1"/>
    <xf numFmtId="9" fontId="0" fillId="0" borderId="0" xfId="0" applyNumberFormat="1"/>
    <xf numFmtId="10" fontId="0" fillId="0" borderId="0" xfId="0" applyNumberFormat="1"/>
    <xf numFmtId="168" fontId="0" fillId="0" borderId="0" xfId="10" applyNumberFormat="1" applyFont="1"/>
    <xf numFmtId="168" fontId="31" fillId="0" borderId="0" xfId="10" applyNumberFormat="1" applyFont="1"/>
    <xf numFmtId="0" fontId="0" fillId="0" borderId="7" xfId="0" applyBorder="1"/>
    <xf numFmtId="10" fontId="0" fillId="0" borderId="7" xfId="0" applyNumberFormat="1" applyBorder="1"/>
    <xf numFmtId="168" fontId="0" fillId="0" borderId="7" xfId="10" applyNumberFormat="1" applyFont="1" applyBorder="1"/>
    <xf numFmtId="170" fontId="72" fillId="0" borderId="0" xfId="1" applyNumberFormat="1" applyFont="1" applyFill="1"/>
    <xf numFmtId="172" fontId="72" fillId="0" borderId="3" xfId="1" applyNumberFormat="1" applyFont="1" applyBorder="1"/>
    <xf numFmtId="43" fontId="72" fillId="0" borderId="3" xfId="1" applyFont="1" applyFill="1" applyBorder="1"/>
    <xf numFmtId="168" fontId="0" fillId="0" borderId="0" xfId="10" applyNumberFormat="1" applyFont="1" applyBorder="1"/>
    <xf numFmtId="43" fontId="0" fillId="0" borderId="7" xfId="0" applyNumberFormat="1" applyBorder="1"/>
    <xf numFmtId="168" fontId="31" fillId="0" borderId="0" xfId="0" applyNumberFormat="1" applyFont="1"/>
    <xf numFmtId="168" fontId="0" fillId="0" borderId="0" xfId="0" applyNumberFormat="1"/>
    <xf numFmtId="168" fontId="0" fillId="0" borderId="7" xfId="0" applyNumberFormat="1" applyBorder="1"/>
    <xf numFmtId="168" fontId="50" fillId="0" borderId="0" xfId="8" applyNumberFormat="1" applyFont="1" applyFill="1" applyBorder="1" applyAlignment="1">
      <alignment horizontal="right"/>
    </xf>
    <xf numFmtId="2" fontId="0" fillId="0" borderId="0" xfId="0" applyNumberFormat="1"/>
    <xf numFmtId="2" fontId="31" fillId="0" borderId="0" xfId="0" applyNumberFormat="1" applyFont="1"/>
    <xf numFmtId="174" fontId="0" fillId="0" borderId="0" xfId="0" applyNumberFormat="1"/>
    <xf numFmtId="170" fontId="72" fillId="0" borderId="0" xfId="1" applyNumberFormat="1" applyFont="1"/>
    <xf numFmtId="43" fontId="72" fillId="0" borderId="3" xfId="1" applyFont="1" applyBorder="1"/>
    <xf numFmtId="0" fontId="79" fillId="6" borderId="0" xfId="0" applyFont="1" applyFill="1" applyAlignment="1">
      <alignment vertical="top"/>
    </xf>
    <xf numFmtId="0" fontId="12" fillId="0" borderId="0" xfId="0" applyFont="1" applyAlignment="1">
      <alignment vertical="top"/>
    </xf>
    <xf numFmtId="0" fontId="0" fillId="0" borderId="0" xfId="0" applyAlignment="1">
      <alignment wrapText="1"/>
    </xf>
    <xf numFmtId="0" fontId="13" fillId="0" borderId="0" xfId="0" applyFont="1" applyAlignment="1">
      <alignment horizontal="right"/>
    </xf>
    <xf numFmtId="0" fontId="79" fillId="0" borderId="0" xfId="0" applyFont="1" applyAlignment="1">
      <alignment horizontal="left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80" fillId="0" borderId="0" xfId="0" applyFont="1" applyAlignment="1">
      <alignment wrapText="1"/>
    </xf>
    <xf numFmtId="0" fontId="12" fillId="0" borderId="0" xfId="0" applyFont="1" applyAlignment="1">
      <alignment horizontal="right"/>
    </xf>
    <xf numFmtId="0" fontId="22" fillId="0" borderId="7" xfId="0" applyFont="1" applyBorder="1" applyAlignment="1">
      <alignment vertical="center" wrapText="1"/>
    </xf>
    <xf numFmtId="0" fontId="79" fillId="0" borderId="7" xfId="0" applyFont="1" applyBorder="1" applyAlignment="1">
      <alignment horizontal="center" vertical="center"/>
    </xf>
    <xf numFmtId="0" fontId="22" fillId="15" borderId="7" xfId="0" applyFont="1" applyFill="1" applyBorder="1" applyAlignment="1">
      <alignment horizontal="center" vertical="center" wrapText="1"/>
    </xf>
    <xf numFmtId="0" fontId="22" fillId="16" borderId="7" xfId="0" applyFont="1" applyFill="1" applyBorder="1" applyAlignment="1">
      <alignment horizontal="center" vertical="center" wrapText="1"/>
    </xf>
    <xf numFmtId="0" fontId="22" fillId="17" borderId="7" xfId="0" applyFont="1" applyFill="1" applyBorder="1" applyAlignment="1">
      <alignment horizontal="center" vertical="center" wrapText="1"/>
    </xf>
    <xf numFmtId="0" fontId="22" fillId="0" borderId="7" xfId="0" applyFont="1" applyBorder="1" applyAlignment="1">
      <alignment horizontal="center" vertical="center"/>
    </xf>
    <xf numFmtId="0" fontId="22" fillId="0" borderId="7" xfId="0" applyFont="1" applyBorder="1" applyAlignment="1">
      <alignment vertical="center"/>
    </xf>
    <xf numFmtId="0" fontId="31" fillId="0" borderId="0" xfId="0" applyFont="1" applyAlignment="1">
      <alignment wrapText="1"/>
    </xf>
    <xf numFmtId="168" fontId="0" fillId="15" borderId="0" xfId="0" applyNumberFormat="1" applyFill="1"/>
    <xf numFmtId="168" fontId="0" fillId="16" borderId="0" xfId="0" applyNumberFormat="1" applyFill="1"/>
    <xf numFmtId="168" fontId="0" fillId="17" borderId="0" xfId="0" applyNumberFormat="1" applyFill="1"/>
    <xf numFmtId="174" fontId="0" fillId="15" borderId="0" xfId="0" applyNumberFormat="1" applyFill="1"/>
    <xf numFmtId="174" fontId="0" fillId="16" borderId="0" xfId="0" applyNumberFormat="1" applyFill="1"/>
    <xf numFmtId="174" fontId="0" fillId="17" borderId="0" xfId="0" applyNumberFormat="1" applyFill="1"/>
    <xf numFmtId="174" fontId="0" fillId="0" borderId="0" xfId="0" applyNumberFormat="1" applyAlignment="1">
      <alignment horizontal="right"/>
    </xf>
    <xf numFmtId="174" fontId="0" fillId="15" borderId="0" xfId="0" applyNumberFormat="1" applyFill="1" applyAlignment="1">
      <alignment horizontal="right"/>
    </xf>
    <xf numFmtId="174" fontId="0" fillId="16" borderId="0" xfId="0" applyNumberFormat="1" applyFill="1" applyAlignment="1">
      <alignment horizontal="right"/>
    </xf>
    <xf numFmtId="174" fontId="0" fillId="17" borderId="0" xfId="0" applyNumberFormat="1" applyFill="1" applyAlignment="1">
      <alignment horizontal="right"/>
    </xf>
    <xf numFmtId="166" fontId="0" fillId="0" borderId="0" xfId="0" applyNumberFormat="1"/>
    <xf numFmtId="166" fontId="0" fillId="15" borderId="0" xfId="0" applyNumberFormat="1" applyFill="1"/>
    <xf numFmtId="166" fontId="0" fillId="16" borderId="0" xfId="0" applyNumberFormat="1" applyFill="1"/>
    <xf numFmtId="166" fontId="0" fillId="17" borderId="0" xfId="0" applyNumberFormat="1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2" fontId="0" fillId="15" borderId="0" xfId="0" applyNumberFormat="1" applyFill="1"/>
    <xf numFmtId="2" fontId="0" fillId="16" borderId="0" xfId="0" applyNumberFormat="1" applyFill="1"/>
    <xf numFmtId="2" fontId="0" fillId="17" borderId="0" xfId="0" applyNumberFormat="1" applyFill="1"/>
    <xf numFmtId="168" fontId="62" fillId="6" borderId="0" xfId="0" applyNumberFormat="1" applyFont="1" applyFill="1"/>
    <xf numFmtId="174" fontId="62" fillId="6" borderId="0" xfId="0" applyNumberFormat="1" applyFont="1" applyFill="1"/>
    <xf numFmtId="166" fontId="62" fillId="6" borderId="0" xfId="0" applyNumberFormat="1" applyFont="1" applyFill="1"/>
    <xf numFmtId="9" fontId="0" fillId="15" borderId="0" xfId="0" applyNumberFormat="1" applyFill="1"/>
    <xf numFmtId="9" fontId="0" fillId="16" borderId="0" xfId="0" applyNumberFormat="1" applyFill="1"/>
    <xf numFmtId="9" fontId="0" fillId="17" borderId="0" xfId="0" applyNumberFormat="1" applyFill="1"/>
    <xf numFmtId="3" fontId="0" fillId="0" borderId="0" xfId="0" applyNumberFormat="1"/>
    <xf numFmtId="172" fontId="72" fillId="7" borderId="0" xfId="12" applyNumberFormat="1" applyFont="1" applyFill="1" applyBorder="1"/>
    <xf numFmtId="172" fontId="72" fillId="0" borderId="0" xfId="1" applyNumberFormat="1" applyFont="1" applyBorder="1"/>
    <xf numFmtId="0" fontId="26" fillId="12" borderId="0" xfId="0" applyFont="1" applyFill="1" applyAlignment="1">
      <alignment horizontal="left"/>
    </xf>
    <xf numFmtId="0" fontId="0" fillId="13" borderId="0" xfId="0" applyFill="1" applyAlignment="1">
      <alignment horizontal="left"/>
    </xf>
    <xf numFmtId="4" fontId="0" fillId="13" borderId="0" xfId="0" applyNumberFormat="1" applyFill="1" applyAlignment="1">
      <alignment horizontal="right"/>
    </xf>
    <xf numFmtId="169" fontId="0" fillId="13" borderId="0" xfId="0" applyNumberFormat="1" applyFill="1" applyAlignment="1">
      <alignment horizontal="right"/>
    </xf>
    <xf numFmtId="175" fontId="0" fillId="13" borderId="0" xfId="0" applyNumberFormat="1" applyFill="1" applyAlignment="1">
      <alignment horizontal="right"/>
    </xf>
    <xf numFmtId="4" fontId="82" fillId="13" borderId="0" xfId="0" applyNumberFormat="1" applyFont="1" applyFill="1" applyAlignment="1">
      <alignment horizontal="right"/>
    </xf>
    <xf numFmtId="4" fontId="0" fillId="0" borderId="0" xfId="0" applyNumberFormat="1" applyAlignment="1">
      <alignment horizontal="right"/>
    </xf>
    <xf numFmtId="169" fontId="0" fillId="0" borderId="0" xfId="0" applyNumberFormat="1" applyAlignment="1">
      <alignment horizontal="right"/>
    </xf>
    <xf numFmtId="175" fontId="0" fillId="0" borderId="0" xfId="0" applyNumberFormat="1" applyAlignment="1">
      <alignment horizontal="right"/>
    </xf>
    <xf numFmtId="4" fontId="82" fillId="0" borderId="0" xfId="0" applyNumberFormat="1" applyFont="1" applyAlignment="1">
      <alignment horizontal="right"/>
    </xf>
    <xf numFmtId="169" fontId="82" fillId="13" borderId="0" xfId="0" applyNumberFormat="1" applyFont="1" applyFill="1" applyAlignment="1">
      <alignment horizontal="right"/>
    </xf>
    <xf numFmtId="0" fontId="0" fillId="5" borderId="0" xfId="0" applyFill="1"/>
    <xf numFmtId="169" fontId="82" fillId="0" borderId="0" xfId="0" applyNumberFormat="1" applyFont="1" applyAlignment="1">
      <alignment horizontal="right"/>
    </xf>
    <xf numFmtId="0" fontId="18" fillId="5" borderId="0" xfId="0" applyFont="1" applyFill="1"/>
    <xf numFmtId="0" fontId="18" fillId="5" borderId="0" xfId="0" applyFont="1" applyFill="1" applyAlignment="1">
      <alignment horizontal="right" vertical="center"/>
    </xf>
    <xf numFmtId="0" fontId="18" fillId="5" borderId="7" xfId="0" applyFont="1" applyFill="1" applyBorder="1"/>
    <xf numFmtId="0" fontId="18" fillId="5" borderId="7" xfId="0" applyFont="1" applyFill="1" applyBorder="1" applyAlignment="1">
      <alignment horizontal="center"/>
    </xf>
    <xf numFmtId="0" fontId="18" fillId="5" borderId="0" xfId="0" applyFont="1" applyFill="1" applyAlignment="1">
      <alignment horizontal="right"/>
    </xf>
    <xf numFmtId="164" fontId="18" fillId="5" borderId="0" xfId="0" applyNumberFormat="1" applyFont="1" applyFill="1"/>
    <xf numFmtId="166" fontId="18" fillId="5" borderId="0" xfId="2" applyNumberFormat="1" applyFont="1" applyFill="1"/>
    <xf numFmtId="168" fontId="18" fillId="5" borderId="0" xfId="0" applyNumberFormat="1" applyFont="1" applyFill="1" applyAlignment="1">
      <alignment horizontal="right"/>
    </xf>
    <xf numFmtId="164" fontId="18" fillId="5" borderId="0" xfId="0" applyNumberFormat="1" applyFont="1" applyFill="1" applyAlignment="1">
      <alignment horizontal="right"/>
    </xf>
    <xf numFmtId="166" fontId="18" fillId="5" borderId="0" xfId="2" applyNumberFormat="1" applyFont="1" applyFill="1" applyAlignment="1">
      <alignment horizontal="right"/>
    </xf>
    <xf numFmtId="168" fontId="18" fillId="5" borderId="0" xfId="2" applyNumberFormat="1" applyFont="1" applyFill="1" applyAlignment="1">
      <alignment horizontal="right"/>
    </xf>
    <xf numFmtId="164" fontId="18" fillId="5" borderId="0" xfId="2" applyNumberFormat="1" applyFont="1" applyFill="1" applyAlignment="1">
      <alignment horizontal="right"/>
    </xf>
    <xf numFmtId="168" fontId="18" fillId="5" borderId="0" xfId="0" applyNumberFormat="1" applyFont="1" applyFill="1"/>
    <xf numFmtId="2" fontId="18" fillId="5" borderId="0" xfId="0" applyNumberFormat="1" applyFont="1" applyFill="1" applyAlignment="1">
      <alignment horizontal="right"/>
    </xf>
    <xf numFmtId="0" fontId="81" fillId="5" borderId="7" xfId="0" applyFont="1" applyFill="1" applyBorder="1"/>
    <xf numFmtId="0" fontId="31" fillId="5" borderId="7" xfId="0" applyFont="1" applyFill="1" applyBorder="1" applyAlignment="1">
      <alignment horizontal="right"/>
    </xf>
    <xf numFmtId="0" fontId="31" fillId="5" borderId="0" xfId="0" applyFont="1" applyFill="1"/>
    <xf numFmtId="166" fontId="0" fillId="5" borderId="0" xfId="2" applyNumberFormat="1" applyFont="1" applyFill="1"/>
    <xf numFmtId="2" fontId="0" fillId="5" borderId="0" xfId="0" applyNumberFormat="1" applyFill="1"/>
    <xf numFmtId="0" fontId="31" fillId="5" borderId="0" xfId="0" applyFont="1" applyFill="1" applyAlignment="1">
      <alignment horizontal="center"/>
    </xf>
    <xf numFmtId="168" fontId="0" fillId="5" borderId="0" xfId="0" applyNumberFormat="1" applyFill="1"/>
    <xf numFmtId="0" fontId="83" fillId="0" borderId="0" xfId="0" applyFont="1" applyAlignment="1">
      <alignment wrapText="1"/>
    </xf>
    <xf numFmtId="173" fontId="48" fillId="0" borderId="0" xfId="2" applyNumberFormat="1" applyFont="1" applyFill="1" applyAlignment="1">
      <alignment horizontal="right"/>
    </xf>
    <xf numFmtId="9" fontId="76" fillId="0" borderId="0" xfId="2" applyFont="1" applyFill="1" applyBorder="1"/>
    <xf numFmtId="9" fontId="72" fillId="0" borderId="0" xfId="2" applyFont="1" applyFill="1" applyBorder="1"/>
    <xf numFmtId="9" fontId="76" fillId="0" borderId="0" xfId="2" applyFont="1" applyFill="1"/>
    <xf numFmtId="9" fontId="72" fillId="0" borderId="0" xfId="2" applyFont="1" applyFill="1"/>
    <xf numFmtId="168" fontId="2" fillId="7" borderId="0" xfId="10" applyNumberFormat="1" applyFont="1" applyFill="1"/>
    <xf numFmtId="9" fontId="62" fillId="7" borderId="0" xfId="0" applyNumberFormat="1" applyFont="1" applyFill="1"/>
    <xf numFmtId="168" fontId="2" fillId="7" borderId="0" xfId="0" applyNumberFormat="1" applyFont="1" applyFill="1"/>
    <xf numFmtId="168" fontId="62" fillId="7" borderId="0" xfId="0" applyNumberFormat="1" applyFont="1" applyFill="1"/>
    <xf numFmtId="0" fontId="0" fillId="0" borderId="0" xfId="0" applyAlignment="1">
      <alignment horizontal="right"/>
    </xf>
    <xf numFmtId="168" fontId="2" fillId="7" borderId="0" xfId="2" applyNumberFormat="1" applyFont="1" applyFill="1"/>
    <xf numFmtId="0" fontId="22" fillId="7" borderId="0" xfId="0" applyFont="1" applyFill="1"/>
    <xf numFmtId="9" fontId="22" fillId="7" borderId="0" xfId="2" applyFont="1" applyFill="1"/>
    <xf numFmtId="173" fontId="2" fillId="7" borderId="0" xfId="2" applyNumberFormat="1" applyFont="1" applyFill="1"/>
    <xf numFmtId="10" fontId="2" fillId="7" borderId="0" xfId="2" applyNumberFormat="1" applyFont="1" applyFill="1"/>
    <xf numFmtId="168" fontId="62" fillId="7" borderId="0" xfId="2" applyNumberFormat="1" applyFont="1" applyFill="1"/>
    <xf numFmtId="3" fontId="86" fillId="7" borderId="0" xfId="1" applyNumberFormat="1" applyFont="1" applyFill="1"/>
    <xf numFmtId="10" fontId="72" fillId="0" borderId="0" xfId="2" applyNumberFormat="1" applyFont="1"/>
    <xf numFmtId="164" fontId="72" fillId="0" borderId="0" xfId="11" applyNumberFormat="1" applyFont="1"/>
    <xf numFmtId="164" fontId="72" fillId="7" borderId="0" xfId="11" applyNumberFormat="1" applyFont="1" applyFill="1"/>
    <xf numFmtId="10" fontId="72" fillId="7" borderId="0" xfId="2" applyNumberFormat="1" applyFont="1" applyFill="1"/>
    <xf numFmtId="164" fontId="87" fillId="7" borderId="0" xfId="11" applyNumberFormat="1" applyFont="1" applyFill="1"/>
    <xf numFmtId="164" fontId="87" fillId="0" borderId="0" xfId="11" applyNumberFormat="1" applyFont="1"/>
    <xf numFmtId="10" fontId="87" fillId="7" borderId="0" xfId="2" applyNumberFormat="1" applyFont="1" applyFill="1"/>
    <xf numFmtId="0" fontId="62" fillId="0" borderId="0" xfId="0" applyFont="1"/>
    <xf numFmtId="10" fontId="87" fillId="0" borderId="0" xfId="2" applyNumberFormat="1" applyFont="1" applyFill="1"/>
    <xf numFmtId="164" fontId="72" fillId="0" borderId="0" xfId="2" applyNumberFormat="1" applyFont="1" applyFill="1"/>
    <xf numFmtId="166" fontId="0" fillId="5" borderId="0" xfId="2" applyNumberFormat="1" applyFont="1" applyFill="1" applyAlignment="1">
      <alignment horizontal="right"/>
    </xf>
    <xf numFmtId="0" fontId="0" fillId="5" borderId="0" xfId="0" applyFill="1" applyAlignment="1">
      <alignment horizontal="right"/>
    </xf>
  </cellXfs>
  <cellStyles count="13">
    <cellStyle name="Background" xfId="5" xr:uid="{3395D89C-6E6F-4F99-838C-56713C7E5072}"/>
    <cellStyle name="Comma" xfId="1" builtinId="3"/>
    <cellStyle name="Comma 2" xfId="12" xr:uid="{892E7061-4619-4DC2-AF30-4D6B3CE6C514}"/>
    <cellStyle name="Currency" xfId="10" builtinId="4"/>
    <cellStyle name="DataOutput" xfId="8" xr:uid="{C4116ABD-346D-4834-AE17-D50B7F010C94}"/>
    <cellStyle name="FactSet header" xfId="6" xr:uid="{0A69568A-B711-4B30-B0BB-30C3E1DAE7CB}"/>
    <cellStyle name="Heading 1" xfId="4" builtinId="16"/>
    <cellStyle name="KeyDataOutput" xfId="7" xr:uid="{74CD7FBA-3E2C-4EEA-BF13-D027E2409269}"/>
    <cellStyle name="Normal" xfId="0" builtinId="0"/>
    <cellStyle name="Normal 2" xfId="9" xr:uid="{9F7F46D4-DE7E-48CB-BE52-F5F99C707256}"/>
    <cellStyle name="Normal 3" xfId="11" xr:uid="{FAE76CC0-1516-4834-8225-2961D99776B5}"/>
    <cellStyle name="Percent" xfId="2" builtinId="5"/>
    <cellStyle name="Title" xfId="3" builtinId="15"/>
  </cellStyles>
  <dxfs count="181">
    <dxf>
      <font>
        <color rgb="FF3333FF"/>
      </font>
    </dxf>
    <dxf>
      <font>
        <color rgb="FFFF0000"/>
      </font>
    </dxf>
    <dxf>
      <font>
        <color rgb="FF3333FF"/>
      </font>
    </dxf>
    <dxf>
      <font>
        <color rgb="FFFF0000"/>
      </font>
    </dxf>
    <dxf>
      <font>
        <color rgb="FF3333FF"/>
      </font>
    </dxf>
    <dxf>
      <font>
        <color rgb="FFFF0000"/>
      </font>
    </dxf>
    <dxf>
      <font>
        <color rgb="FF3333FF"/>
      </font>
    </dxf>
    <dxf>
      <font>
        <color rgb="FFFF0000"/>
      </font>
    </dxf>
    <dxf>
      <font>
        <color rgb="FF3333FF"/>
      </font>
    </dxf>
    <dxf>
      <font>
        <color rgb="FFFF0000"/>
      </font>
    </dxf>
    <dxf>
      <font>
        <color theme="0"/>
      </font>
      <fill>
        <patternFill>
          <bgColor rgb="FFC00000"/>
        </patternFill>
      </fill>
    </dxf>
    <dxf>
      <font>
        <color theme="5"/>
      </font>
    </dxf>
    <dxf>
      <font>
        <color rgb="FF00B050"/>
      </font>
    </dxf>
    <dxf>
      <font>
        <color rgb="FF00B050"/>
      </font>
    </dxf>
    <dxf>
      <font>
        <color theme="5"/>
      </font>
    </dxf>
    <dxf>
      <font>
        <color rgb="FF00B050"/>
      </font>
    </dxf>
    <dxf>
      <font>
        <color rgb="FF00B050"/>
      </font>
    </dxf>
    <dxf>
      <font>
        <color theme="5"/>
      </font>
    </dxf>
    <dxf>
      <font>
        <color rgb="FF00B050"/>
      </font>
    </dxf>
    <dxf>
      <font>
        <color rgb="FF00B050"/>
      </font>
    </dxf>
    <dxf>
      <font>
        <color theme="5"/>
      </font>
    </dxf>
    <dxf>
      <font>
        <color rgb="FF00B050"/>
      </font>
    </dxf>
    <dxf>
      <font>
        <color theme="5"/>
      </font>
    </dxf>
    <dxf>
      <font>
        <color rgb="FF00B050"/>
      </font>
    </dxf>
    <dxf>
      <font>
        <color theme="5"/>
      </font>
    </dxf>
    <dxf>
      <font>
        <color rgb="FF00B050"/>
      </font>
    </dxf>
    <dxf>
      <font>
        <color theme="5"/>
      </font>
    </dxf>
    <dxf>
      <font>
        <color rgb="FF00B050"/>
      </font>
    </dxf>
    <dxf>
      <font>
        <color theme="5"/>
      </font>
    </dxf>
    <dxf>
      <font>
        <color rgb="FF00B050"/>
      </font>
    </dxf>
    <dxf>
      <font>
        <color rgb="FF00B050"/>
      </font>
    </dxf>
    <dxf>
      <font>
        <color theme="5"/>
      </font>
    </dxf>
    <dxf>
      <font>
        <color rgb="FF00B050"/>
      </font>
    </dxf>
    <dxf>
      <font>
        <color theme="5"/>
      </font>
    </dxf>
    <dxf>
      <font>
        <color rgb="FF00B050"/>
      </font>
    </dxf>
    <dxf>
      <font>
        <color rgb="FF00B050"/>
      </font>
    </dxf>
    <dxf>
      <font>
        <color theme="5"/>
      </font>
    </dxf>
    <dxf>
      <font>
        <color rgb="FF00B050"/>
      </font>
    </dxf>
    <dxf>
      <font>
        <color theme="5"/>
      </font>
    </dxf>
    <dxf>
      <font>
        <color rgb="FF00B050"/>
      </font>
    </dxf>
    <dxf>
      <font>
        <color theme="5"/>
      </font>
    </dxf>
    <dxf>
      <font>
        <color rgb="FF00B050"/>
      </font>
    </dxf>
    <dxf>
      <font>
        <color theme="5"/>
      </font>
    </dxf>
    <dxf>
      <font>
        <color rgb="FF00B050"/>
      </font>
    </dxf>
    <dxf>
      <font>
        <color rgb="FF00B050"/>
      </font>
    </dxf>
    <dxf>
      <font>
        <color theme="5"/>
      </font>
    </dxf>
    <dxf>
      <font>
        <color rgb="FF00B050"/>
      </font>
    </dxf>
    <dxf>
      <font>
        <color theme="5"/>
      </font>
    </dxf>
    <dxf>
      <font>
        <color theme="5"/>
      </font>
    </dxf>
    <dxf>
      <font>
        <color rgb="FF00B050"/>
      </font>
    </dxf>
    <dxf>
      <font>
        <color rgb="FF00B050"/>
      </font>
    </dxf>
    <dxf>
      <font>
        <color theme="5"/>
      </font>
    </dxf>
    <dxf>
      <font>
        <color rgb="FF00B050"/>
      </font>
    </dxf>
    <dxf>
      <font>
        <color rgb="FF00B050"/>
      </font>
    </dxf>
    <dxf>
      <font>
        <color theme="5"/>
      </font>
    </dxf>
    <dxf>
      <font>
        <color rgb="FF00B050"/>
      </font>
    </dxf>
    <dxf>
      <font>
        <color theme="5"/>
      </font>
    </dxf>
    <dxf>
      <font>
        <color rgb="FF00B050"/>
      </font>
    </dxf>
    <dxf>
      <font>
        <color rgb="FF00B050"/>
      </font>
    </dxf>
    <dxf>
      <font>
        <color rgb="FF00B050"/>
      </font>
    </dxf>
    <dxf>
      <font>
        <color rgb="FF00B050"/>
      </font>
    </dxf>
    <dxf>
      <font>
        <color rgb="FF00B050"/>
      </font>
    </dxf>
    <dxf>
      <font>
        <color rgb="FF00B050"/>
      </font>
    </dxf>
    <dxf>
      <font>
        <color theme="5"/>
      </font>
    </dxf>
    <dxf>
      <font>
        <color rgb="FF00B050"/>
      </font>
    </dxf>
    <dxf>
      <font>
        <color rgb="FF00B050"/>
      </font>
    </dxf>
    <dxf>
      <font>
        <color theme="5"/>
      </font>
    </dxf>
    <dxf>
      <font>
        <color theme="0"/>
      </font>
      <fill>
        <patternFill>
          <bgColor rgb="FFC00000"/>
        </patternFill>
      </fill>
    </dxf>
    <dxf>
      <font>
        <color theme="5"/>
      </font>
    </dxf>
    <dxf>
      <font>
        <color rgb="FF00B050"/>
      </font>
    </dxf>
    <dxf>
      <font>
        <color rgb="FF00B050"/>
      </font>
    </dxf>
    <dxf>
      <font>
        <color theme="5"/>
      </font>
    </dxf>
    <dxf>
      <font>
        <color rgb="FF00B050"/>
      </font>
    </dxf>
    <dxf>
      <font>
        <color rgb="FF00B050"/>
      </font>
    </dxf>
    <dxf>
      <font>
        <color theme="5"/>
      </font>
    </dxf>
    <dxf>
      <font>
        <color rgb="FF00B050"/>
      </font>
    </dxf>
    <dxf>
      <font>
        <color rgb="FF00B050"/>
      </font>
    </dxf>
    <dxf>
      <font>
        <color theme="5"/>
      </font>
    </dxf>
    <dxf>
      <font>
        <color rgb="FF00B050"/>
      </font>
    </dxf>
    <dxf>
      <font>
        <color theme="5"/>
      </font>
    </dxf>
    <dxf>
      <font>
        <color rgb="FF00B050"/>
      </font>
    </dxf>
    <dxf>
      <font>
        <color theme="5"/>
      </font>
    </dxf>
    <dxf>
      <font>
        <color rgb="FF00B050"/>
      </font>
    </dxf>
    <dxf>
      <font>
        <color theme="5"/>
      </font>
    </dxf>
    <dxf>
      <font>
        <color rgb="FF00B050"/>
      </font>
    </dxf>
    <dxf>
      <font>
        <color theme="5"/>
      </font>
    </dxf>
    <dxf>
      <font>
        <color rgb="FF00B050"/>
      </font>
    </dxf>
    <dxf>
      <font>
        <color rgb="FF00B050"/>
      </font>
    </dxf>
    <dxf>
      <font>
        <color theme="5"/>
      </font>
    </dxf>
    <dxf>
      <font>
        <color rgb="FF00B050"/>
      </font>
    </dxf>
    <dxf>
      <font>
        <color theme="5"/>
      </font>
    </dxf>
    <dxf>
      <font>
        <color rgb="FF00B050"/>
      </font>
    </dxf>
    <dxf>
      <font>
        <color rgb="FF00B050"/>
      </font>
    </dxf>
    <dxf>
      <font>
        <color theme="5"/>
      </font>
    </dxf>
    <dxf>
      <font>
        <color rgb="FF00B050"/>
      </font>
    </dxf>
    <dxf>
      <font>
        <color theme="5"/>
      </font>
    </dxf>
    <dxf>
      <font>
        <color rgb="FF00B050"/>
      </font>
    </dxf>
    <dxf>
      <font>
        <color theme="5"/>
      </font>
    </dxf>
    <dxf>
      <font>
        <color rgb="FF00B050"/>
      </font>
    </dxf>
    <dxf>
      <font>
        <color theme="5"/>
      </font>
    </dxf>
    <dxf>
      <font>
        <color rgb="FF00B050"/>
      </font>
    </dxf>
    <dxf>
      <font>
        <color rgb="FF00B050"/>
      </font>
    </dxf>
    <dxf>
      <font>
        <color theme="5"/>
      </font>
    </dxf>
    <dxf>
      <font>
        <color rgb="FF00B050"/>
      </font>
    </dxf>
    <dxf>
      <font>
        <color theme="5"/>
      </font>
    </dxf>
    <dxf>
      <font>
        <color theme="5"/>
      </font>
    </dxf>
    <dxf>
      <font>
        <color rgb="FF00B050"/>
      </font>
    </dxf>
    <dxf>
      <font>
        <color rgb="FF00B050"/>
      </font>
    </dxf>
    <dxf>
      <font>
        <color theme="5"/>
      </font>
    </dxf>
    <dxf>
      <font>
        <color rgb="FF00B050"/>
      </font>
    </dxf>
    <dxf>
      <font>
        <color rgb="FF00B050"/>
      </font>
    </dxf>
    <dxf>
      <font>
        <color theme="5"/>
      </font>
    </dxf>
    <dxf>
      <font>
        <color rgb="FF00B050"/>
      </font>
    </dxf>
    <dxf>
      <font>
        <color theme="5"/>
      </font>
    </dxf>
    <dxf>
      <font>
        <color rgb="FF00B050"/>
      </font>
    </dxf>
    <dxf>
      <font>
        <color rgb="FF00B050"/>
      </font>
    </dxf>
    <dxf>
      <font>
        <color rgb="FF00B050"/>
      </font>
    </dxf>
    <dxf>
      <font>
        <color rgb="FF00B050"/>
      </font>
    </dxf>
    <dxf>
      <font>
        <color rgb="FF00B050"/>
      </font>
    </dxf>
    <dxf>
      <font>
        <color rgb="FF00B050"/>
      </font>
    </dxf>
    <dxf>
      <font>
        <color theme="5"/>
      </font>
    </dxf>
    <dxf>
      <font>
        <color rgb="FF00B050"/>
      </font>
    </dxf>
    <dxf>
      <font>
        <color rgb="FF00B050"/>
      </font>
    </dxf>
    <dxf>
      <font>
        <color theme="5"/>
      </font>
    </dxf>
    <dxf>
      <font>
        <color theme="0"/>
      </font>
      <fill>
        <patternFill>
          <bgColor rgb="FFC00000"/>
        </patternFill>
      </fill>
    </dxf>
    <dxf>
      <font>
        <color theme="5"/>
      </font>
    </dxf>
    <dxf>
      <font>
        <color rgb="FF00B050"/>
      </font>
    </dxf>
    <dxf>
      <font>
        <color rgb="FF00B050"/>
      </font>
    </dxf>
    <dxf>
      <font>
        <color theme="5"/>
      </font>
    </dxf>
    <dxf>
      <font>
        <color rgb="FF00B050"/>
      </font>
    </dxf>
    <dxf>
      <font>
        <color rgb="FF00B050"/>
      </font>
    </dxf>
    <dxf>
      <font>
        <color theme="5"/>
      </font>
    </dxf>
    <dxf>
      <font>
        <color rgb="FF00B050"/>
      </font>
    </dxf>
    <dxf>
      <font>
        <color rgb="FF00B050"/>
      </font>
    </dxf>
    <dxf>
      <font>
        <color theme="5"/>
      </font>
    </dxf>
    <dxf>
      <font>
        <color rgb="FF00B050"/>
      </font>
    </dxf>
    <dxf>
      <font>
        <color theme="5"/>
      </font>
    </dxf>
    <dxf>
      <font>
        <color rgb="FF00B050"/>
      </font>
    </dxf>
    <dxf>
      <font>
        <color theme="5"/>
      </font>
    </dxf>
    <dxf>
      <font>
        <color rgb="FF00B050"/>
      </font>
    </dxf>
    <dxf>
      <font>
        <color theme="5"/>
      </font>
    </dxf>
    <dxf>
      <font>
        <color rgb="FF00B050"/>
      </font>
    </dxf>
    <dxf>
      <font>
        <color theme="5"/>
      </font>
    </dxf>
    <dxf>
      <font>
        <color rgb="FF00B050"/>
      </font>
    </dxf>
    <dxf>
      <font>
        <color rgb="FF00B050"/>
      </font>
    </dxf>
    <dxf>
      <font>
        <color theme="5"/>
      </font>
    </dxf>
    <dxf>
      <font>
        <color rgb="FF00B050"/>
      </font>
    </dxf>
    <dxf>
      <font>
        <color theme="5"/>
      </font>
    </dxf>
    <dxf>
      <font>
        <color rgb="FF00B050"/>
      </font>
    </dxf>
    <dxf>
      <font>
        <color rgb="FF00B050"/>
      </font>
    </dxf>
    <dxf>
      <font>
        <color theme="5"/>
      </font>
    </dxf>
    <dxf>
      <font>
        <color rgb="FF00B050"/>
      </font>
    </dxf>
    <dxf>
      <font>
        <color theme="5"/>
      </font>
    </dxf>
    <dxf>
      <font>
        <color rgb="FF00B050"/>
      </font>
    </dxf>
    <dxf>
      <font>
        <color theme="5"/>
      </font>
    </dxf>
    <dxf>
      <font>
        <color rgb="FF00B050"/>
      </font>
    </dxf>
    <dxf>
      <font>
        <color theme="5"/>
      </font>
    </dxf>
    <dxf>
      <font>
        <color rgb="FF00B050"/>
      </font>
    </dxf>
    <dxf>
      <font>
        <color rgb="FF00B050"/>
      </font>
    </dxf>
    <dxf>
      <font>
        <color theme="5"/>
      </font>
    </dxf>
    <dxf>
      <font>
        <color rgb="FF00B050"/>
      </font>
    </dxf>
    <dxf>
      <font>
        <color theme="5"/>
      </font>
    </dxf>
    <dxf>
      <font>
        <color theme="5"/>
      </font>
    </dxf>
    <dxf>
      <font>
        <color rgb="FF00B050"/>
      </font>
    </dxf>
    <dxf>
      <font>
        <color rgb="FF00B050"/>
      </font>
    </dxf>
    <dxf>
      <font>
        <color theme="5"/>
      </font>
    </dxf>
    <dxf>
      <font>
        <color rgb="FF00B050"/>
      </font>
    </dxf>
    <dxf>
      <font>
        <color rgb="FF00B050"/>
      </font>
    </dxf>
    <dxf>
      <font>
        <color theme="5"/>
      </font>
    </dxf>
    <dxf>
      <font>
        <color rgb="FF00B050"/>
      </font>
    </dxf>
    <dxf>
      <font>
        <color theme="5"/>
      </font>
    </dxf>
    <dxf>
      <font>
        <color rgb="FF00B050"/>
      </font>
    </dxf>
    <dxf>
      <font>
        <color rgb="FF00B050"/>
      </font>
    </dxf>
    <dxf>
      <font>
        <color rgb="FF00B050"/>
      </font>
    </dxf>
    <dxf>
      <font>
        <color rgb="FF00B050"/>
      </font>
    </dxf>
    <dxf>
      <font>
        <color rgb="FF00B050"/>
      </font>
    </dxf>
    <dxf>
      <font>
        <color rgb="FF00B050"/>
      </font>
    </dxf>
    <dxf>
      <font>
        <color theme="5"/>
      </font>
    </dxf>
    <dxf>
      <font>
        <color rgb="FF00B050"/>
      </font>
    </dxf>
    <dxf>
      <font>
        <color rgb="FF00B050"/>
      </font>
    </dxf>
    <dxf>
      <font>
        <color theme="5"/>
      </font>
    </dxf>
  </dxfs>
  <tableStyles count="0" defaultTableStyle="TableStyleMedium2" defaultPivotStyle="PivotStyleLight16"/>
  <colors>
    <mruColors>
      <color rgb="FFFFFFFF"/>
      <color rgb="FFFFE5E5"/>
      <color rgb="FF000000"/>
      <color rgb="FFED7D31"/>
      <color rgb="FF00B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tyles" Target="styles.xml"/><Relationship Id="rId33" Type="http://schemas.openxmlformats.org/officeDocument/2006/relationships/customXml" Target="../customXml/item4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theme" Target="theme/theme1.xml"/><Relationship Id="rId32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externalLink" Target="externalLinks/externalLink1.xml"/><Relationship Id="rId28" Type="http://schemas.microsoft.com/office/2017/10/relationships/person" Target="persons/person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heetMetadata" Target="metadata.xml"/><Relationship Id="rId30" Type="http://schemas.openxmlformats.org/officeDocument/2006/relationships/customXml" Target="../customXml/item1.xml"/><Relationship Id="rId8" Type="http://schemas.openxmlformats.org/officeDocument/2006/relationships/worksheet" Target="worksheets/sheet8.xml"/></Relationships>
</file>

<file path=xl/ctrlProps/ctrlProp1.xml><?xml version="1.0" encoding="utf-8"?>
<formControlPr xmlns="http://schemas.microsoft.com/office/spreadsheetml/2009/9/main" objectType="CheckBox" fmlaLink="'[1]Accretion and Dilution'!$G$1" lockText="1" noThreeD="1"/>
</file>

<file path=xl/ctrlProps/ctrlProp2.xml><?xml version="1.0" encoding="utf-8"?>
<formControlPr xmlns="http://schemas.microsoft.com/office/spreadsheetml/2009/9/main" objectType="CheckBox" fmlaLink="'[1]Accretion and Dilution'!$G$1" lockText="1" noThreeD="1"/>
</file>

<file path=xl/ctrlProps/ctrlProp3.xml><?xml version="1.0" encoding="utf-8"?>
<formControlPr xmlns="http://schemas.microsoft.com/office/spreadsheetml/2009/9/main" objectType="CheckBox" fmlaLink="'[1]Accretion and Dilution'!$G$1" lockText="1" noThreeD="1"/>
</file>

<file path=xl/ctrlProps/ctrlProp4.xml><?xml version="1.0" encoding="utf-8"?>
<formControlPr xmlns="http://schemas.microsoft.com/office/spreadsheetml/2009/9/main" objectType="CheckBox" fmlaLink="'[1]Accretion and Dilution'!$G$1" lockText="1" noThreeD="1"/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434340</xdr:colOff>
      <xdr:row>12</xdr:row>
      <xdr:rowOff>83820</xdr:rowOff>
    </xdr:from>
    <xdr:to>
      <xdr:col>4</xdr:col>
      <xdr:colOff>7513933</xdr:colOff>
      <xdr:row>37</xdr:row>
      <xdr:rowOff>145165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105400" y="2095500"/>
          <a:ext cx="7079593" cy="4442845"/>
        </a:xfrm>
        <a:prstGeom prst="rect">
          <a:avLst/>
        </a:prstGeom>
        <a:ln>
          <a:noFill/>
        </a:ln>
        <a:effectLst>
          <a:outerShdw blurRad="292100" dist="139700" dir="2700000" algn="tl" rotWithShape="0">
            <a:srgbClr val="333333">
              <a:alpha val="65000"/>
            </a:srgbClr>
          </a:outerShdw>
        </a:effec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676275</xdr:colOff>
          <xdr:row>3</xdr:row>
          <xdr:rowOff>85725</xdr:rowOff>
        </xdr:from>
        <xdr:to>
          <xdr:col>7</xdr:col>
          <xdr:colOff>600075</xdr:colOff>
          <xdr:row>4</xdr:row>
          <xdr:rowOff>142875</xdr:rowOff>
        </xdr:to>
        <xdr:sp macro="" textlink="">
          <xdr:nvSpPr>
            <xdr:cNvPr id="67585" name="Check Box 1" hidden="1">
              <a:extLst>
                <a:ext uri="{63B3BB69-23CF-44E3-9099-C40C66FF867C}">
                  <a14:compatExt spid="_x0000_s67585"/>
                </a:ext>
                <a:ext uri="{FF2B5EF4-FFF2-40B4-BE49-F238E27FC236}">
                  <a16:creationId xmlns:a16="http://schemas.microsoft.com/office/drawing/2014/main" id="{00000000-0008-0000-0600-0000010801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CF30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Comments</a:t>
              </a:r>
            </a:p>
          </xdr:txBody>
        </xdr:sp>
        <xdr:clientData/>
      </xdr:twoCellAnchor>
    </mc:Choice>
    <mc:Fallback/>
  </mc:AlternateContent>
</xdr:wsDr>
</file>

<file path=xl/drawings/drawing3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676275</xdr:colOff>
          <xdr:row>3</xdr:row>
          <xdr:rowOff>85725</xdr:rowOff>
        </xdr:from>
        <xdr:to>
          <xdr:col>7</xdr:col>
          <xdr:colOff>571500</xdr:colOff>
          <xdr:row>4</xdr:row>
          <xdr:rowOff>123825</xdr:rowOff>
        </xdr:to>
        <xdr:sp macro="" textlink="">
          <xdr:nvSpPr>
            <xdr:cNvPr id="87041" name="Check Box 1" hidden="1">
              <a:extLst>
                <a:ext uri="{63B3BB69-23CF-44E3-9099-C40C66FF867C}">
                  <a14:compatExt spid="_x0000_s87041"/>
                </a:ext>
                <a:ext uri="{FF2B5EF4-FFF2-40B4-BE49-F238E27FC236}">
                  <a16:creationId xmlns:a16="http://schemas.microsoft.com/office/drawing/2014/main" id="{00000000-0008-0000-0700-0000015401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CF30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Comments</a:t>
              </a:r>
            </a:p>
          </xdr:txBody>
        </xdr:sp>
        <xdr:clientData/>
      </xdr:twoCellAnchor>
    </mc:Choice>
    <mc:Fallback/>
  </mc:AlternateContent>
</xdr:wsDr>
</file>

<file path=xl/drawings/drawing4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676275</xdr:colOff>
          <xdr:row>3</xdr:row>
          <xdr:rowOff>85725</xdr:rowOff>
        </xdr:from>
        <xdr:to>
          <xdr:col>7</xdr:col>
          <xdr:colOff>542925</xdr:colOff>
          <xdr:row>4</xdr:row>
          <xdr:rowOff>104775</xdr:rowOff>
        </xdr:to>
        <xdr:sp macro="" textlink="">
          <xdr:nvSpPr>
            <xdr:cNvPr id="88065" name="Check Box 1" hidden="1">
              <a:extLst>
                <a:ext uri="{63B3BB69-23CF-44E3-9099-C40C66FF867C}">
                  <a14:compatExt spid="_x0000_s88065"/>
                </a:ext>
                <a:ext uri="{FF2B5EF4-FFF2-40B4-BE49-F238E27FC236}">
                  <a16:creationId xmlns:a16="http://schemas.microsoft.com/office/drawing/2014/main" id="{00000000-0008-0000-0800-0000015801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CF30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Comments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676275</xdr:colOff>
          <xdr:row>3</xdr:row>
          <xdr:rowOff>85725</xdr:rowOff>
        </xdr:from>
        <xdr:to>
          <xdr:col>7</xdr:col>
          <xdr:colOff>571500</xdr:colOff>
          <xdr:row>4</xdr:row>
          <xdr:rowOff>123825</xdr:rowOff>
        </xdr:to>
        <xdr:sp macro="" textlink="">
          <xdr:nvSpPr>
            <xdr:cNvPr id="88067" name="Check Box 3" hidden="1">
              <a:extLst>
                <a:ext uri="{63B3BB69-23CF-44E3-9099-C40C66FF867C}">
                  <a14:compatExt spid="_x0000_s88067"/>
                </a:ext>
                <a:ext uri="{FF2B5EF4-FFF2-40B4-BE49-F238E27FC236}">
                  <a16:creationId xmlns:a16="http://schemas.microsoft.com/office/drawing/2014/main" id="{00000000-0008-0000-0800-0000035801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CF30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Comments</a:t>
              </a:r>
            </a:p>
          </xdr:txBody>
        </xdr:sp>
        <xdr:clientData/>
      </xdr:twoCellAnchor>
    </mc:Choice>
    <mc:Fallback/>
  </mc:AlternateContent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onika%20Lewenski/Courses/Temp%20for%20Kaplan/Acquisition%20Modelling%20Exercise%20Completed%203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Football Field Diagram"/>
      <sheetName val="Synergy Value and Premium"/>
      <sheetName val="Accretion and Dilution"/>
      <sheetName val="Simple PE Formula"/>
      <sheetName val="PE Ratio Changing Drivers"/>
      <sheetName val="EV to EBITDA"/>
      <sheetName val="Simple Circular Reference"/>
      <sheetName val="Simple Bank"/>
      <sheetName val="Reserve Example Zero NPV"/>
      <sheetName val="Reserve Example Pos NPV"/>
      <sheetName val="Simple Insurance"/>
      <sheetName val="Aflac Financials"/>
      <sheetName val="Graph of Assumptions and ROE"/>
      <sheetName val="MB Regression"/>
      <sheetName val="Aflac DCF"/>
      <sheetName val="Amazon Assumptions"/>
      <sheetName val="Amazon Model"/>
      <sheetName val="Amazon Summary"/>
      <sheetName val="Amazon DCF"/>
      <sheetName val="Sensitivity and Presentation"/>
      <sheetName val="Tornado Diagram"/>
      <sheetName val="Forecast and Actual"/>
      <sheetName val="Amazon LBO Value"/>
      <sheetName val="Model of Financial Company"/>
      <sheetName val="L&amp;G"/>
      <sheetName val="AMZN"/>
      <sheetName val="S&amp;P 500"/>
      <sheetName val="Inflation and PE"/>
      <sheetName val="Acquisition Modelling Exercise "/>
    </sheetNames>
    <definedNames>
      <definedName name="CheckBox2_Click"/>
    </definedNames>
    <sheetDataSet>
      <sheetData sheetId="0"/>
      <sheetData sheetId="1"/>
      <sheetData sheetId="2"/>
      <sheetData sheetId="3">
        <row r="3">
          <cell r="E3">
            <v>0.15</v>
          </cell>
        </row>
        <row r="4">
          <cell r="E4">
            <v>0.08</v>
          </cell>
        </row>
        <row r="6">
          <cell r="E6">
            <v>0.46666666666666667</v>
          </cell>
        </row>
      </sheetData>
      <sheetData sheetId="4"/>
      <sheetData sheetId="5">
        <row r="9">
          <cell r="E9">
            <v>1.1723050660515961</v>
          </cell>
        </row>
      </sheetData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 refreshError="1"/>
      <sheetData sheetId="21"/>
      <sheetData sheetId="22"/>
      <sheetData sheetId="23"/>
      <sheetData sheetId="24"/>
      <sheetData sheetId="25"/>
      <sheetData sheetId="26"/>
      <sheetData sheetId="27"/>
      <sheetData sheetId="28" refreshError="1"/>
    </sheetDataSet>
  </externalBook>
</externalLink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AnalystSolutions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Custom 1">
      <a:majorFont>
        <a:latin typeface="Arial Narrow"/>
        <a:ea typeface=""/>
        <a:cs typeface=""/>
      </a:majorFont>
      <a:minorFont>
        <a:latin typeface="Arial Narrow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txDef>
      <a:spPr>
        <a:solidFill>
          <a:schemeClr val="accent2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a:spPr>
      <a:bodyPr vertOverflow="clip" horzOverflow="clip" wrap="square" rtlCol="0" anchor="t"/>
      <a:lstStyle>
        <a:defPPr algn="l">
          <a:defRPr sz="1100">
            <a:latin typeface="Arial Narrow" panose="020B0606020202030204" pitchFamily="34" charset="0"/>
          </a:defRPr>
        </a:def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5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4.bin"/><Relationship Id="rId5" Type="http://schemas.openxmlformats.org/officeDocument/2006/relationships/comments" Target="../comments5.xml"/><Relationship Id="rId4" Type="http://schemas.openxmlformats.org/officeDocument/2006/relationships/ctrlProp" Target="../ctrlProps/ctrlProp1.xm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ctrlProp" Target="../ctrlProps/ctrlProp2.xml"/><Relationship Id="rId2" Type="http://schemas.openxmlformats.org/officeDocument/2006/relationships/vmlDrawing" Target="../drawings/vmlDrawing6.vml"/><Relationship Id="rId1" Type="http://schemas.openxmlformats.org/officeDocument/2006/relationships/drawing" Target="../drawings/drawing3.xml"/><Relationship Id="rId4" Type="http://schemas.openxmlformats.org/officeDocument/2006/relationships/comments" Target="../comments6.xm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ctrlProp" Target="../ctrlProps/ctrlProp3.xml"/><Relationship Id="rId2" Type="http://schemas.openxmlformats.org/officeDocument/2006/relationships/vmlDrawing" Target="../drawings/vmlDrawing7.vml"/><Relationship Id="rId1" Type="http://schemas.openxmlformats.org/officeDocument/2006/relationships/drawing" Target="../drawings/drawing4.xml"/><Relationship Id="rId5" Type="http://schemas.openxmlformats.org/officeDocument/2006/relationships/comments" Target="../comments7.xml"/><Relationship Id="rId4" Type="http://schemas.openxmlformats.org/officeDocument/2006/relationships/ctrlProp" Target="../ctrlProps/ctrlProp4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5.xml.rels><?xml version="1.0" encoding="UTF-8" standalone="yes"?>
<Relationships xmlns="http://schemas.openxmlformats.org/package/2006/relationships"><Relationship Id="rId8" Type="http://schemas.openxmlformats.org/officeDocument/2006/relationships/hyperlink" Target="fdsup://factset/Doc%20Viewer%20Single?float_window=true&amp;positioning_strategy=center_on_screen&amp;_doc_docfn=U2FsdGVkX19G7h4+BysIfG3kFgzqfrjJ4/ZBIm7a/QyCnG4AOJE14Sv8j25h0gSITYjs63ihjW/c8HH52UQ0Kg==&amp;_app_id=central_doc_viewer&amp;center_on_screen=true&amp;width=950&amp;height=800&amp;_dd2=%26f%3Dsld%26c%3Dtrue%26os%3D167492%26oe%3D167499" TargetMode="External"/><Relationship Id="rId13" Type="http://schemas.openxmlformats.org/officeDocument/2006/relationships/hyperlink" Target="fdsup://factset/Doc%20Viewer%20Single?float_window=true&amp;positioning_strategy=center_on_screen&amp;_doc_docfn=U2FsdGVkX1+jzyI211XXUB2s7u+zZg51D3N4Zp0T47O3NH6BI41w3V5QNOGTMK9epqPhntLdBOFGCQMarI5G7i/mVOVewQ5raMqqLO1c+6Q=&amp;_app_id=central_doc_viewer&amp;center_on_screen=true&amp;width=950&amp;height=800&amp;_dd2=%26f%3Dsld%26c%3Dtrue%26os%3D147926%26oe%3D147935" TargetMode="External"/><Relationship Id="rId18" Type="http://schemas.openxmlformats.org/officeDocument/2006/relationships/hyperlink" Target="fdsup://factset/Doc%20Viewer%20Single?float_window=true&amp;positioning_strategy=center_on_screen&amp;_doc_docfn=U2FsdGVkX191BZHIBztSFG47QQlDtHbedlW3KySpydGt76xq5DCIA6XHgospwLDIJL24kaG4lIo9c9jRmsmvuQ==&amp;_app_id=central_doc_viewer&amp;center_on_screen=true&amp;width=950&amp;height=800&amp;_dd2=%26f%3Dsld%26c%3Dtrue%26os%3D172482%26oe%3D172489" TargetMode="External"/><Relationship Id="rId3" Type="http://schemas.openxmlformats.org/officeDocument/2006/relationships/hyperlink" Target="fdsup://factset/Doc%20Viewer%20Single?float_window=true&amp;positioning_strategy=center_on_screen&amp;_doc_docfn=U2FsdGVkX1/eX1e+2+5VAC8ta5rDfyAQecSGLymTTUKik+rsYw9M2kf+r7ZB6UOklXOtAd3+gVL7H1OT9Vnbvh3xbnlacIXeVUrFgnXXUR8=&amp;_app_id=central_doc_viewer&amp;center_on_screen=true&amp;width=950&amp;height=800&amp;_dd2=%26f%3Dsld%26c%3Dtrue%26os%3D145635%26oe%3D145642" TargetMode="External"/><Relationship Id="rId7" Type="http://schemas.openxmlformats.org/officeDocument/2006/relationships/hyperlink" Target="fdsup://factset/Doc%20Viewer%20Single?float_window=true&amp;positioning_strategy=center_on_screen&amp;_doc_docfn=U2FsdGVkX1+GU4a3c8W9UhFgPImT4oKRQi2yZu4e4CRNv2uueJjlnwWjK/XQPVGGOzMai7sZyXP5vNgHdNFHdGAyKkL89WFgbJD71bS+rFs=&amp;_app_id=central_doc_viewer&amp;center_on_screen=true&amp;width=950&amp;height=800&amp;_dd2=%26f%3Dsld%26c%3Dtrue%26os%3D145347%26oe%3D145354" TargetMode="External"/><Relationship Id="rId12" Type="http://schemas.openxmlformats.org/officeDocument/2006/relationships/hyperlink" Target="fdsup://factset/Doc%20Viewer%20Single?float_window=true&amp;positioning_strategy=center_on_screen&amp;_doc_docfn=U2FsdGVkX19pYw71G/6XPoc+EmlOeXDRt4EEv/+J1iFLtKBAKMNhWPX+GiV9m1fIhD776QUsqifHQHaUb0Or8n8TB30VAqRcSW7w/hgEZDM=&amp;_app_id=central_doc_viewer&amp;center_on_screen=true&amp;width=950&amp;height=800&amp;_dd2=%26f%3Dsld%26c%3Dtrue%26os%3D144488%26oe%3D144495" TargetMode="External"/><Relationship Id="rId17" Type="http://schemas.openxmlformats.org/officeDocument/2006/relationships/hyperlink" Target="fdsup://factset/Doc%20Viewer%20Single?float_window=true&amp;positioning_strategy=center_on_screen&amp;_doc_docfn=U2FsdGVkX19J4kt8Tz4/bcof64RByO74RFFWcZQXf+nK3RMKVD0Yl2/U6kc1sl37TSQLTPk9B7oHuh9+iSbNblmFvEd/UB5yZL2V6A8+0ss=&amp;_app_id=central_doc_viewer&amp;center_on_screen=true&amp;width=950&amp;height=800&amp;_dd2=%26f%3Dsld%26c%3Dtrue%26os%3D147681%26oe%3D147691" TargetMode="External"/><Relationship Id="rId2" Type="http://schemas.openxmlformats.org/officeDocument/2006/relationships/hyperlink" Target="fdsup://factset/Doc%20Viewer%20Single?float_window=true&amp;positioning_strategy=center_on_screen&amp;_doc_docfn=U2FsdGVkX1/Ac5VomWb8MK7omY1Z1eeaJNOmnpAmwZlvhgHRyr00NXLOyP8RyOkMbbAzhV8ICacpkrrM/i8OQQqw5NWstq+D/B/QcPNLEHw=&amp;_app_id=central_doc_viewer&amp;center_on_screen=true&amp;width=950&amp;height=800&amp;_dd2=%26f%3Dsld%26c%3Dtrue%26os%3D142401%26oe%3D142408" TargetMode="External"/><Relationship Id="rId16" Type="http://schemas.openxmlformats.org/officeDocument/2006/relationships/hyperlink" Target="fdsup://factset/Doc%20Viewer%20Single?float_window=true&amp;positioning_strategy=center_on_screen&amp;_doc_docfn=U2FsdGVkX1+gJQ+JiVEAR9Xkqr6z1IH3Mn2fVxYJJE4S0kfupuNqNhJYpmmhA9DZ4I4O++Un4WuqYElTInBFOsKVvynlwij44mqhAuM1lCQ=&amp;_app_id=central_doc_viewer&amp;center_on_screen=true&amp;width=950&amp;height=800&amp;_dd2=%26f%3Dsld%26c%3Dtrue%26os%3D146865%26oe%3D146874" TargetMode="External"/><Relationship Id="rId20" Type="http://schemas.openxmlformats.org/officeDocument/2006/relationships/hyperlink" Target="fdsup://factset/Doc%20Viewer%20Single?float_window=true&amp;positioning_strategy=center_on_screen&amp;_doc_docfn=U2FsdGVkX1+CdDQKYUUAuvR7f2zRjVEAxt+gbyFkIvH1WV+gDBRW3aKFUoB5K+mqq/OcubzttIJILFpXyp1oChomNhCQHz5bHMR2o798Ttg=&amp;_app_id=central_doc_viewer&amp;center_on_screen=true&amp;width=950&amp;height=800&amp;_dd2=%26f%3Dsld%26c%3Dtrue%26os%3D146622%26oe%3D146630" TargetMode="External"/><Relationship Id="rId1" Type="http://schemas.openxmlformats.org/officeDocument/2006/relationships/hyperlink" Target="fdsup://factset/Doc%20Viewer%20Single?float_window=true&amp;positioning_strategy=center_on_screen&amp;_doc_docfn=U2FsdGVkX18H4O+RM1W/YJdPurUjSYLd/nZicdzED1HWQSxf+qGTZXZ1FsVpLQC620a44vIAjFtwiTZ/igOqGssW5UjObSpT3OHHJOXLP7k=&amp;_app_id=central_doc_viewer&amp;center_on_screen=true&amp;width=950&amp;height=800&amp;_dd2=%26f%3Dsld%26c%3Dtrue%26os%3D131878%26oe%3D131883" TargetMode="External"/><Relationship Id="rId6" Type="http://schemas.openxmlformats.org/officeDocument/2006/relationships/hyperlink" Target="fdsup://factset/Doc%20Viewer%20Single?float_window=true&amp;positioning_strategy=center_on_screen&amp;_doc_docfn=U2FsdGVkX19P8POAV6a9sVaPYm85JW4MxOmIGBKoSVzWXbbeaaQDz+IKk1PYzwaeUemiEzDu1ZNL5mTsi+6BCGOsBGfx/3S6/xBg4Mc6/UY=&amp;_app_id=central_doc_viewer&amp;center_on_screen=true&amp;width=950&amp;height=800&amp;_dd2=%26f%3Dsld%26c%3Dtrue%26os%3D144373%26oe%3D144380" TargetMode="External"/><Relationship Id="rId11" Type="http://schemas.openxmlformats.org/officeDocument/2006/relationships/hyperlink" Target="fdsup://factset/Doc%20Viewer%20Single?float_window=true&amp;positioning_strategy=center_on_screen&amp;_doc_docfn=U2FsdGVkX19iL8xGNOkcE+Taxgy1L1GBszkVp8qdCfXrMOc7IRfuO8jtn1amJnUSo0PK2bmuD+hff9q4y3P5m139z3dklqubyvw3EfyA484=&amp;_app_id=central_doc_viewer&amp;center_on_screen=true&amp;width=950&amp;height=800&amp;_dd2=%26f%3Dsld%26c%3Dtrue%26os%3D132994%26oe%3D133001" TargetMode="External"/><Relationship Id="rId5" Type="http://schemas.openxmlformats.org/officeDocument/2006/relationships/hyperlink" Target="fdsup://factset/Doc%20Viewer%20Single?float_window=true&amp;positioning_strategy=center_on_screen&amp;_doc_docfn=U2FsdGVkX1/dWI1pamBn9Yjnbx4VuGsQ71/FuLUyaPhyf938a6Ce/30N03E4+qcg2VoZ+pPRHt/PVu4hMEYauwSlHOFNRGxgzjluQp9DWhg=&amp;_app_id=central_doc_viewer&amp;center_on_screen=true&amp;width=950&amp;height=800&amp;_dd2=%26f%3Dsld%26c%3Dtrue%26os%3D132993%26oe%3D133000" TargetMode="External"/><Relationship Id="rId15" Type="http://schemas.openxmlformats.org/officeDocument/2006/relationships/hyperlink" Target="fdsup://factset/Doc%20Viewer%20Single?float_window=true&amp;positioning_strategy=center_on_screen&amp;_doc_docfn=U2FsdGVkX1+dVvdxT3DzIEOnZ4snHCRd+j0k7rGBqboyF0dsK1Wy+J4iTX+A5BCDhkwpcTL/bYlPZDh47OhUR5pfqtGZrvjhWLqbA1nnaJs=&amp;_app_id=central_doc_viewer&amp;center_on_screen=true&amp;width=950&amp;height=800&amp;_dd2=%26f%3Dsld%26c%3Dtrue%26os%3D134326%26oe%3D134331" TargetMode="External"/><Relationship Id="rId10" Type="http://schemas.openxmlformats.org/officeDocument/2006/relationships/hyperlink" Target="fdsup://factset/Doc%20Viewer%20Single?float_window=true&amp;positioning_strategy=center_on_screen&amp;_doc_docfn=U2FsdGVkX18snPiS0Ar1XcbEH1UnlZ6pKgAC6tTQGy8E+OEhB2fz8D2vCIiuEW3u+oQEhDGqlqzAzeZrYV4F07ZZSOrhTC/h+WmS6hKQ8GE=&amp;_app_id=central_doc_viewer&amp;center_on_screen=true&amp;width=950&amp;height=800&amp;_dd2=%26f%3Dsld%26c%3Dtrue%26os%3D144085%26oe%3D144092" TargetMode="External"/><Relationship Id="rId19" Type="http://schemas.openxmlformats.org/officeDocument/2006/relationships/hyperlink" Target="fdsup://factset/Doc%20Viewer%20Single?float_window=true&amp;positioning_strategy=center_on_screen&amp;_doc_docfn=U2FsdGVkX1+FORxpsvoe5P/gwwQfsuYMbO1OjvCElHL7zkAYipx0MA8rw/8A4+DKAvPJqqhV+B9pmQTzOTfE+8KZ3mE4dcteWROo2MnCcwU=&amp;_app_id=central_doc_viewer&amp;center_on_screen=true&amp;width=950&amp;height=800&amp;_dd2=%26f%3Dsld%26c%3Dtrue%26os%3D134084%26oe%3D134092" TargetMode="External"/><Relationship Id="rId4" Type="http://schemas.openxmlformats.org/officeDocument/2006/relationships/hyperlink" Target="fdsup://factset/Doc%20Viewer%20Single?float_window=true&amp;positioning_strategy=center_on_screen&amp;_doc_docfn=U2FsdGVkX18WgFecMiAsWpXZ2vJRu1bhfWcZo0HMB8Rv+XCA0y31AYTBuwapchuRgadUl/SGt++dyKtQ73/S/w==&amp;_app_id=central_doc_viewer&amp;center_on_screen=true&amp;width=950&amp;height=800&amp;_dd2=%26f%3Dsld%26c%3Dtrue%26os%3D167910%26oe%3D167917" TargetMode="External"/><Relationship Id="rId9" Type="http://schemas.openxmlformats.org/officeDocument/2006/relationships/hyperlink" Target="fdsup://factset/Doc%20Viewer%20Single?float_window=true&amp;positioning_strategy=center_on_screen&amp;_doc_docfn=U2FsdGVkX18/fkuBxxaFdjTAXp/OTMvJJE9So7XEG31UlceMPtb918KqoKPZC2emyrv1/0Af919Ba6vu0GJjcUOtYYVm5ekFf7OHisVssts=&amp;_app_id=central_doc_viewer&amp;center_on_screen=true&amp;width=950&amp;height=800&amp;_dd2=%26f%3Dsld%26c%3Dtrue%26os%3D132705%26oe%3D132712" TargetMode="External"/><Relationship Id="rId14" Type="http://schemas.openxmlformats.org/officeDocument/2006/relationships/hyperlink" Target="fdsup://factset/Doc%20Viewer%20Single?float_window=true&amp;positioning_strategy=center_on_screen&amp;_doc_docfn=U2FsdGVkX1+kRXwlKFhjjUp0A4W0sPmYUCmQQgrLaiTVIuG3TEbRHHfdO72JR8aKSXxeuf+ShQp2HfgppS05mg==&amp;_app_id=central_doc_viewer&amp;center_on_screen=true&amp;width=950&amp;height=800&amp;_dd2=%26f%3Dsld%26c%3Dtrue%26os%3D172905%26oe%3D172909" TargetMode="External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comments" Target="../comments8.xml"/><Relationship Id="rId1" Type="http://schemas.openxmlformats.org/officeDocument/2006/relationships/vmlDrawing" Target="../drawings/vmlDrawing8.v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B339FF-6F5B-426C-8223-591349535B58}">
  <dimension ref="A1:B4"/>
  <sheetViews>
    <sheetView workbookViewId="0"/>
  </sheetViews>
  <sheetFormatPr defaultColWidth="9" defaultRowHeight="16.5" x14ac:dyDescent="0.3"/>
  <sheetData>
    <row r="1" spans="1:2" x14ac:dyDescent="0.3">
      <c r="B1" t="s">
        <v>0</v>
      </c>
    </row>
    <row r="2" spans="1:2" x14ac:dyDescent="0.3"/>
    <row r="3" spans="1:2" x14ac:dyDescent="0.3"/>
    <row r="4" spans="1:2" x14ac:dyDescent="0.3"/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B4EDAB-315A-4F94-B8D5-C38A3D1BE483}">
  <dimension ref="A1:E6"/>
  <sheetViews>
    <sheetView workbookViewId="0"/>
  </sheetViews>
  <sheetFormatPr defaultColWidth="9" defaultRowHeight="16.5" x14ac:dyDescent="0.3"/>
  <cols>
    <col min="1" max="1" width="2.140625" bestFit="1" customWidth="1"/>
    <col min="2" max="2" width="31.5703125" bestFit="1" customWidth="1"/>
    <col min="3" max="3" width="21" bestFit="1" customWidth="1"/>
    <col min="4" max="4" width="21.85546875" bestFit="1" customWidth="1"/>
    <col min="5" max="5" width="169.85546875" bestFit="1" customWidth="1"/>
  </cols>
  <sheetData>
    <row r="1" spans="1:5" x14ac:dyDescent="0.3">
      <c r="B1" s="47" t="s">
        <v>1</v>
      </c>
      <c r="C1" s="47" t="s">
        <v>2</v>
      </c>
      <c r="D1" s="47" t="s">
        <v>3</v>
      </c>
      <c r="E1" s="47" t="s">
        <v>4</v>
      </c>
    </row>
    <row r="2" spans="1:5" x14ac:dyDescent="0.3">
      <c r="A2">
        <v>1</v>
      </c>
      <c r="B2" t="s">
        <v>5</v>
      </c>
      <c r="C2" t="s">
        <v>6</v>
      </c>
      <c r="D2" t="s">
        <v>7</v>
      </c>
      <c r="E2" t="s">
        <v>8</v>
      </c>
    </row>
    <row r="3" spans="1:5" x14ac:dyDescent="0.3">
      <c r="A3">
        <v>2</v>
      </c>
      <c r="B3" t="s">
        <v>9</v>
      </c>
      <c r="C3" t="s">
        <v>10</v>
      </c>
      <c r="D3" t="s">
        <v>11</v>
      </c>
      <c r="E3" t="s">
        <v>12</v>
      </c>
    </row>
    <row r="4" spans="1:5" x14ac:dyDescent="0.3">
      <c r="A4">
        <v>3</v>
      </c>
      <c r="B4" t="s">
        <v>13</v>
      </c>
      <c r="C4" t="s">
        <v>14</v>
      </c>
      <c r="D4" t="s">
        <v>15</v>
      </c>
      <c r="E4" t="s">
        <v>16</v>
      </c>
    </row>
    <row r="5" spans="1:5" x14ac:dyDescent="0.3">
      <c r="A5">
        <v>4</v>
      </c>
      <c r="B5" t="s">
        <v>17</v>
      </c>
      <c r="E5" t="s">
        <v>18</v>
      </c>
    </row>
    <row r="6" spans="1:5" x14ac:dyDescent="0.3">
      <c r="A6">
        <v>5</v>
      </c>
      <c r="B6" t="s">
        <v>19</v>
      </c>
      <c r="E6" t="s">
        <v>20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FC06C4-677A-403F-A1FB-1DA0F8E90327}">
  <sheetPr>
    <tabColor rgb="FFC00000"/>
  </sheetPr>
  <dimension ref="A1"/>
  <sheetViews>
    <sheetView workbookViewId="0"/>
  </sheetViews>
  <sheetFormatPr defaultColWidth="9" defaultRowHeight="16.5" x14ac:dyDescent="0.3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94E95E-0C4C-40D0-B315-D221B601E8F2}">
  <dimension ref="A1:AV267"/>
  <sheetViews>
    <sheetView showGridLines="0" tabSelected="1" zoomScale="80" zoomScaleNormal="80" workbookViewId="0">
      <pane xSplit="1" ySplit="7" topLeftCell="B8" activePane="bottomRight" state="frozen"/>
      <selection pane="topRight" activeCell="E1" sqref="E1"/>
      <selection pane="bottomLeft" activeCell="A8" sqref="A8"/>
      <selection pane="bottomRight" activeCell="B8" sqref="B8"/>
    </sheetView>
  </sheetViews>
  <sheetFormatPr defaultColWidth="10.140625" defaultRowHeight="16.5" outlineLevelRow="2" outlineLevelCol="2" x14ac:dyDescent="0.3"/>
  <cols>
    <col min="1" max="1" width="74.85546875" style="79" bestFit="1" customWidth="1"/>
    <col min="2" max="2" width="11.85546875" style="76" customWidth="1"/>
    <col min="3" max="4" width="10.85546875" style="76" bestFit="1" customWidth="1"/>
    <col min="5" max="7" width="12" style="76" bestFit="1" customWidth="1"/>
    <col min="8" max="11" width="12.85546875" style="76" bestFit="1" customWidth="1"/>
    <col min="12" max="12" width="13" style="76" customWidth="1"/>
    <col min="13" max="13" width="10.85546875" style="76" bestFit="1" customWidth="1"/>
    <col min="14" max="15" width="9.85546875" style="76" customWidth="1"/>
    <col min="16" max="17" width="9.85546875" style="76" hidden="1" customWidth="1" outlineLevel="1"/>
    <col min="18" max="22" width="12" style="76" hidden="1" customWidth="1" outlineLevel="1"/>
    <col min="23" max="23" width="25.140625" style="122" customWidth="1" collapsed="1"/>
    <col min="24" max="24" width="16.140625" style="78" customWidth="1" outlineLevel="2"/>
    <col min="25" max="25" width="21" style="76" customWidth="1" outlineLevel="2"/>
    <col min="26" max="28" width="12" style="76" customWidth="1" outlineLevel="1"/>
    <col min="29" max="29" width="6.85546875" style="79" customWidth="1" outlineLevel="1"/>
    <col min="30" max="30" width="12" style="76" customWidth="1" outlineLevel="1"/>
    <col min="31" max="31" width="4.140625" style="76" customWidth="1" outlineLevel="1"/>
    <col min="32" max="32" width="10.140625" style="79" customWidth="1" outlineLevel="1"/>
    <col min="33" max="34" width="14.85546875" style="79" customWidth="1" outlineLevel="1"/>
    <col min="35" max="16384" width="10.140625" style="79"/>
  </cols>
  <sheetData>
    <row r="1" spans="1:34" ht="27" customHeight="1" x14ac:dyDescent="0.3">
      <c r="A1" s="71" t="s">
        <v>21</v>
      </c>
      <c r="B1" s="72">
        <v>2</v>
      </c>
      <c r="C1" s="73">
        <v>1</v>
      </c>
      <c r="D1" s="72">
        <v>2</v>
      </c>
      <c r="E1" s="74" t="s">
        <v>22</v>
      </c>
      <c r="F1" s="75" t="s">
        <v>23</v>
      </c>
      <c r="G1" s="75" t="s">
        <v>24</v>
      </c>
      <c r="W1" s="77" t="s">
        <v>25</v>
      </c>
      <c r="AF1" s="76"/>
      <c r="AH1" s="80" t="s">
        <v>26</v>
      </c>
    </row>
    <row r="2" spans="1:34" s="85" customFormat="1" x14ac:dyDescent="0.3">
      <c r="A2" s="81" t="s">
        <v>27</v>
      </c>
      <c r="B2" s="82" t="str">
        <f>CHOOSE(B1,"GAAP/IFRS","Broker Actual")</f>
        <v>Broker Actual</v>
      </c>
      <c r="C2" s="82" t="str">
        <f>CHOOSE(C1,AG3,AH3)</f>
        <v>Incl. restate</v>
      </c>
      <c r="D2" s="82" t="str">
        <f>CHOOSE(D1,AG2,AH2)</f>
        <v>Median</v>
      </c>
      <c r="E2" s="82" t="s">
        <v>17</v>
      </c>
      <c r="F2" s="83" t="s">
        <v>28</v>
      </c>
      <c r="G2" s="84" t="s">
        <v>29</v>
      </c>
      <c r="J2" s="86" t="s">
        <v>30</v>
      </c>
      <c r="W2" s="87"/>
      <c r="X2" s="88"/>
      <c r="AA2" s="85" t="s">
        <v>17</v>
      </c>
      <c r="AG2" s="89" t="s">
        <v>31</v>
      </c>
      <c r="AH2" s="89" t="s">
        <v>32</v>
      </c>
    </row>
    <row r="3" spans="1:34" x14ac:dyDescent="0.3">
      <c r="A3" s="90" t="s">
        <v>33</v>
      </c>
      <c r="B3" s="91"/>
      <c r="D3" s="92"/>
      <c r="F3" s="93" t="s">
        <v>34</v>
      </c>
      <c r="G3" s="93" t="s">
        <v>35</v>
      </c>
      <c r="H3" s="79"/>
      <c r="W3" s="94"/>
      <c r="AG3" s="95" t="s">
        <v>36</v>
      </c>
      <c r="AH3" s="95" t="s">
        <v>37</v>
      </c>
    </row>
    <row r="4" spans="1:34" x14ac:dyDescent="0.3">
      <c r="A4" s="96" t="str">
        <f>"Financial Statements Summary - "&amp; _xll.FDSC("-",ALLFINSTAT_RWIdentifier,"FG_COMPANY_NAME")&amp;" ("&amp;UPPER(ALLFINSTAT_RWIdentifier)&amp;")"</f>
        <v>Financial Statements Summary - HCI Group, Inc. (HCI)</v>
      </c>
      <c r="B4" s="97"/>
      <c r="C4" s="97"/>
      <c r="D4" s="97"/>
      <c r="E4" s="97"/>
      <c r="F4" s="78" t="s">
        <v>38</v>
      </c>
      <c r="G4" s="78" t="s">
        <v>39</v>
      </c>
      <c r="H4" s="79"/>
      <c r="I4" s="79"/>
      <c r="W4" s="94"/>
      <c r="AG4" s="95" t="s">
        <v>40</v>
      </c>
      <c r="AH4" s="95" t="s">
        <v>41</v>
      </c>
    </row>
    <row r="5" spans="1:34" s="102" customFormat="1" x14ac:dyDescent="0.3">
      <c r="A5" s="98"/>
      <c r="B5" s="99"/>
      <c r="C5" s="99"/>
      <c r="D5" s="99"/>
      <c r="E5" s="99"/>
      <c r="F5" s="99"/>
      <c r="G5" s="99"/>
      <c r="H5" s="99"/>
      <c r="I5" s="99"/>
      <c r="J5" s="99"/>
      <c r="K5" s="99"/>
      <c r="L5" s="99"/>
      <c r="M5" s="99"/>
      <c r="N5" s="99"/>
      <c r="O5" s="99"/>
      <c r="P5" s="99"/>
      <c r="Q5" s="99"/>
      <c r="R5" s="99"/>
      <c r="S5" s="99"/>
      <c r="T5" s="99"/>
      <c r="U5" s="99"/>
      <c r="V5" s="99"/>
      <c r="W5" s="100"/>
      <c r="X5" s="101"/>
      <c r="Y5" s="99"/>
      <c r="Z5" s="99"/>
      <c r="AA5" s="99"/>
      <c r="AB5" s="99"/>
      <c r="AD5" s="99"/>
      <c r="AE5" s="103"/>
    </row>
    <row r="6" spans="1:34" x14ac:dyDescent="0.3">
      <c r="A6" s="104" t="s">
        <v>42</v>
      </c>
      <c r="B6" s="105" t="s">
        <v>43</v>
      </c>
      <c r="C6" s="105" t="s">
        <v>44</v>
      </c>
      <c r="D6" s="105" t="s">
        <v>45</v>
      </c>
      <c r="E6" s="105" t="s">
        <v>46</v>
      </c>
      <c r="F6" s="105" t="s">
        <v>47</v>
      </c>
      <c r="G6" s="105" t="s">
        <v>48</v>
      </c>
      <c r="H6" s="105" t="s">
        <v>49</v>
      </c>
      <c r="I6" s="105" t="s">
        <v>50</v>
      </c>
      <c r="J6" s="105" t="s">
        <v>51</v>
      </c>
      <c r="K6" s="105" t="s">
        <v>52</v>
      </c>
      <c r="L6" s="105" t="s">
        <v>53</v>
      </c>
      <c r="M6" s="105" t="s">
        <v>54</v>
      </c>
      <c r="N6" s="105" t="s">
        <v>55</v>
      </c>
      <c r="O6" s="105" t="s">
        <v>56</v>
      </c>
      <c r="P6" s="105" t="s">
        <v>57</v>
      </c>
      <c r="Q6" s="105" t="s">
        <v>58</v>
      </c>
      <c r="R6" s="105"/>
      <c r="S6" s="105"/>
      <c r="T6" s="105"/>
      <c r="U6" s="105"/>
      <c r="V6" s="105"/>
      <c r="W6" s="106"/>
      <c r="X6" s="107" t="s">
        <v>59</v>
      </c>
      <c r="Y6" s="107" t="s">
        <v>60</v>
      </c>
      <c r="Z6" s="105" t="s">
        <v>54</v>
      </c>
      <c r="AA6" s="105" t="s">
        <v>55</v>
      </c>
      <c r="AB6" s="105" t="s">
        <v>56</v>
      </c>
      <c r="AC6" s="108"/>
      <c r="AD6" s="108"/>
      <c r="AE6" s="108"/>
    </row>
    <row r="7" spans="1:34" x14ac:dyDescent="0.3">
      <c r="A7" s="79" t="s">
        <v>61</v>
      </c>
      <c r="B7" s="109" t="str" cm="1">
        <f t="array" ref="B7">_xll.FDSRC("-",$A$1,"CONVERT_DATE(FF_FISCAL_DATE(ANN_R,"&amp;B$6&amp;","&amp;B$6&amp;",,,"""",""DATEJ""),""MM/YYYY"")")</f>
        <v>12/2012</v>
      </c>
      <c r="C7" s="109" t="str" cm="1">
        <f t="array" ref="C7">_xll.FDSRC("-",$A$1,"CONVERT_DATE(FF_FISCAL_DATE(ANN_R,"&amp;C$6&amp;","&amp;C$6&amp;",,,"""",""DATEJ""),""MM/YYYY"")")</f>
        <v>12/2013</v>
      </c>
      <c r="D7" s="109" t="str" cm="1">
        <f t="array" ref="D7">_xll.FDSRC("-",$A$1,"CONVERT_DATE(FF_FISCAL_DATE(ANN_R,"&amp;D$6&amp;","&amp;D$6&amp;",,,"""",""DATEJ""),""MM/YYYY"")")</f>
        <v>12/2014</v>
      </c>
      <c r="E7" s="109" t="str" cm="1">
        <f t="array" ref="E7">_xll.FDSRC("-",$A$1,"CONVERT_DATE(FF_FISCAL_DATE(ANN_R,"&amp;E$6&amp;","&amp;E$6&amp;",,,"""",""DATEJ""),""MM/YYYY"")")</f>
        <v>12/2015</v>
      </c>
      <c r="F7" s="109" t="str" cm="1">
        <f t="array" ref="F7">_xll.FDSRC("-",$A$1,"CONVERT_DATE(FF_FISCAL_DATE(ANN_R,"&amp;F$6&amp;","&amp;F$6&amp;",,,"""",""DATEJ""),""MM/YYYY"")")</f>
        <v>12/2016</v>
      </c>
      <c r="G7" s="109" t="str" cm="1">
        <f t="array" ref="G7">_xll.FDSRC("-",$A$1,"CONVERT_DATE(FF_FISCAL_DATE(ANN_R,"&amp;G$6&amp;","&amp;G$6&amp;",,,"""",""DATEJ""),""MM/YYYY"")")</f>
        <v>12/2017</v>
      </c>
      <c r="H7" s="109" t="str" cm="1">
        <f t="array" ref="H7">_xll.FDSRC("-",$A$1,"CONVERT_DATE(FF_FISCAL_DATE(ANN_R,"&amp;H$6&amp;","&amp;H$6&amp;",,,"""",""DATEJ""),""MM/YYYY"")")</f>
        <v>12/2018</v>
      </c>
      <c r="I7" s="109" t="str" cm="1">
        <f t="array" ref="I7">_xll.FDSRC("-",$A$1,"CONVERT_DATE(FF_FISCAL_DATE(ANN_R,"&amp;I$6&amp;","&amp;I$6&amp;",,,"""",""DATEJ""),""MM/YYYY"")")</f>
        <v>12/2019</v>
      </c>
      <c r="J7" s="109" t="str" cm="1">
        <f t="array" ref="J7">_xll.FDSRC("-",$A$1,"CONVERT_DATE(FF_FISCAL_DATE(ANN_R,"&amp;J$6&amp;","&amp;J$6&amp;",,,"""",""DATEJ""),""MM/YYYY"")")</f>
        <v>12/2020</v>
      </c>
      <c r="K7" s="109" t="str" cm="1">
        <f t="array" ref="K7">_xll.FDSRC("-",$A$1,"CONVERT_DATE(FF_FISCAL_DATE(ANN_R,"&amp;K$6&amp;","&amp;K$6&amp;",,,"""",""DATEJ""),""MM/YYYY"")")</f>
        <v>12/2021</v>
      </c>
      <c r="L7" s="109" t="str" cm="1">
        <f t="array" ref="L7">_xll.FDSRC("-",$A$1,"CONVERT_DATE(FF_FISCAL_DATE(ANN_R,"&amp;L$6&amp;","&amp;L$6&amp;",,,"""",""DATEJ""),""MM/YYYY"")")</f>
        <v>12/2022</v>
      </c>
      <c r="M7" s="110">
        <v>45261</v>
      </c>
      <c r="N7" s="110">
        <v>45627</v>
      </c>
      <c r="O7" s="110">
        <v>45992</v>
      </c>
      <c r="P7" s="110">
        <v>46357</v>
      </c>
      <c r="Q7" s="110">
        <v>46722</v>
      </c>
      <c r="R7" s="111"/>
      <c r="S7" s="111"/>
      <c r="T7" s="111"/>
      <c r="U7" s="111"/>
      <c r="V7" s="111"/>
      <c r="W7" s="112"/>
      <c r="X7" s="113"/>
      <c r="Y7" s="114"/>
      <c r="Z7" s="115" t="str" cm="1">
        <f t="array" ref="Z7">_xll.FDSC("",$A$1,"FE_ACTUAL_DATE(FISCALPERIODEND,,ANNUAL,1,'MM/YYYY')")</f>
        <v>12/2023</v>
      </c>
      <c r="AA7" s="115" t="str" cm="1">
        <f t="array" ref="AA7">_xll.FDSC("",$A$1,"FE_ACTUAL_DATE(FISCALPERIODEND,,ANNUAL,2,'MM/YYYY')")</f>
        <v>12/2024</v>
      </c>
      <c r="AB7" s="115" t="str" cm="1">
        <f t="array" ref="AB7">_xll.FDSC("",$A$1,"FE_ACTUAL_DATE(FISCALPERIODEND,,ANNUAL,3,'MM/YYYY')")</f>
        <v>12/2025</v>
      </c>
      <c r="AC7" s="116"/>
      <c r="AD7" s="115"/>
      <c r="AE7" s="117"/>
    </row>
    <row r="8" spans="1:34" x14ac:dyDescent="0.3">
      <c r="A8" s="118" t="s">
        <v>62</v>
      </c>
      <c r="B8" s="109"/>
      <c r="C8" s="109"/>
      <c r="D8" s="109"/>
      <c r="E8" s="109"/>
      <c r="F8" s="109"/>
      <c r="G8" s="109"/>
      <c r="H8" s="109"/>
      <c r="I8" s="109"/>
      <c r="J8" s="109"/>
      <c r="K8" s="109"/>
      <c r="L8" s="109"/>
      <c r="M8" s="110"/>
      <c r="N8" s="110"/>
      <c r="O8" s="109"/>
      <c r="P8" s="109"/>
      <c r="Q8" s="109"/>
      <c r="R8" s="111"/>
      <c r="S8" s="111"/>
      <c r="T8" s="111"/>
      <c r="U8" s="111"/>
      <c r="V8" s="111"/>
      <c r="W8" s="112"/>
      <c r="X8" s="113"/>
      <c r="Y8" s="114"/>
      <c r="Z8" s="115"/>
      <c r="AA8" s="115"/>
      <c r="AB8" s="115"/>
      <c r="AC8" s="116"/>
      <c r="AD8" s="115"/>
      <c r="AE8" s="117"/>
    </row>
    <row r="9" spans="1:34" x14ac:dyDescent="0.3">
      <c r="A9" s="119" t="s">
        <v>63</v>
      </c>
      <c r="B9" s="120"/>
      <c r="C9" s="120"/>
      <c r="D9" s="120"/>
      <c r="E9" s="120"/>
      <c r="F9" s="120"/>
      <c r="G9" s="120"/>
      <c r="H9" s="120"/>
      <c r="I9" s="120"/>
      <c r="J9" s="120"/>
      <c r="K9" s="120"/>
      <c r="L9" s="120"/>
      <c r="M9" s="120"/>
      <c r="N9" s="120"/>
      <c r="O9" s="121"/>
      <c r="P9" s="121"/>
      <c r="Q9" s="121"/>
      <c r="R9" s="121"/>
      <c r="S9" s="121"/>
      <c r="T9" s="121"/>
      <c r="U9" s="121"/>
      <c r="V9" s="121"/>
      <c r="AC9" s="76"/>
    </row>
    <row r="10" spans="1:34" x14ac:dyDescent="0.3">
      <c r="A10" s="196" t="s">
        <v>64</v>
      </c>
      <c r="B10" s="76" t="s">
        <v>65</v>
      </c>
      <c r="C10" s="76" t="s">
        <v>66</v>
      </c>
      <c r="D10" s="76" t="s">
        <v>67</v>
      </c>
      <c r="E10" s="76" t="s">
        <v>68</v>
      </c>
      <c r="F10" s="76" t="s">
        <v>69</v>
      </c>
      <c r="G10" s="76" t="s">
        <v>70</v>
      </c>
      <c r="H10" s="76" t="s">
        <v>71</v>
      </c>
      <c r="I10" s="76" t="s">
        <v>72</v>
      </c>
      <c r="J10" s="76" t="s">
        <v>73</v>
      </c>
      <c r="K10" s="76" t="s">
        <v>74</v>
      </c>
      <c r="L10" s="76" t="s">
        <v>75</v>
      </c>
      <c r="M10"/>
      <c r="N10"/>
      <c r="O10"/>
      <c r="P10"/>
      <c r="Q10"/>
    </row>
    <row r="11" spans="1:34" outlineLevel="2" x14ac:dyDescent="0.3">
      <c r="A11" s="198" t="s">
        <v>76</v>
      </c>
      <c r="B11" s="199">
        <v>110000</v>
      </c>
      <c r="C11" s="199">
        <v>160000</v>
      </c>
      <c r="D11" s="199">
        <v>175000</v>
      </c>
      <c r="E11" s="199">
        <v>160000</v>
      </c>
      <c r="F11" s="199">
        <v>150000</v>
      </c>
      <c r="G11" s="199">
        <v>139000</v>
      </c>
      <c r="H11" s="199">
        <v>127000</v>
      </c>
      <c r="I11" s="199">
        <v>131000</v>
      </c>
      <c r="J11" s="199">
        <v>154000</v>
      </c>
      <c r="K11" s="199">
        <v>180700</v>
      </c>
      <c r="L11" s="199">
        <v>210400</v>
      </c>
      <c r="M11" s="206">
        <f>L11*(1+M12)</f>
        <v>223024</v>
      </c>
      <c r="N11" s="206">
        <f>M11*(1+N12)</f>
        <v>256477.59999999998</v>
      </c>
      <c r="O11" s="206">
        <f t="shared" ref="O11:Q11" si="0">N11*(1+O12)</f>
        <v>269301.48</v>
      </c>
      <c r="P11" s="206">
        <f t="shared" si="0"/>
        <v>282766.554</v>
      </c>
      <c r="Q11" s="206">
        <f t="shared" si="0"/>
        <v>296904.88170000003</v>
      </c>
      <c r="R11" s="124"/>
      <c r="S11" s="124"/>
      <c r="T11" s="124"/>
      <c r="U11" s="124"/>
      <c r="V11" s="124"/>
      <c r="W11" s="125"/>
      <c r="X11" s="126"/>
      <c r="Y11" s="126"/>
      <c r="Z11" s="124"/>
      <c r="AA11" s="124"/>
      <c r="AB11" s="124"/>
      <c r="AC11" s="124"/>
      <c r="AD11" s="124"/>
      <c r="AE11" s="127"/>
    </row>
    <row r="12" spans="1:34" outlineLevel="2" x14ac:dyDescent="0.3">
      <c r="A12" s="200" t="s">
        <v>77</v>
      </c>
      <c r="B12" s="199"/>
      <c r="C12" s="201">
        <f>C11/B11-1</f>
        <v>0.45454545454545459</v>
      </c>
      <c r="D12" s="201">
        <f t="shared" ref="D12:L12" si="1">D11/C11-1</f>
        <v>9.375E-2</v>
      </c>
      <c r="E12" s="201">
        <f t="shared" si="1"/>
        <v>-8.5714285714285743E-2</v>
      </c>
      <c r="F12" s="201">
        <f t="shared" si="1"/>
        <v>-6.25E-2</v>
      </c>
      <c r="G12" s="201">
        <f t="shared" si="1"/>
        <v>-7.3333333333333361E-2</v>
      </c>
      <c r="H12" s="201">
        <f t="shared" si="1"/>
        <v>-8.633093525179858E-2</v>
      </c>
      <c r="I12" s="201">
        <f t="shared" si="1"/>
        <v>3.1496062992125928E-2</v>
      </c>
      <c r="J12" s="201">
        <f t="shared" si="1"/>
        <v>0.17557251908396942</v>
      </c>
      <c r="K12" s="201">
        <f t="shared" si="1"/>
        <v>0.17337662337662341</v>
      </c>
      <c r="L12" s="201">
        <f t="shared" si="1"/>
        <v>0.164360819037078</v>
      </c>
      <c r="M12" s="210">
        <v>0.06</v>
      </c>
      <c r="N12" s="210">
        <v>0.15</v>
      </c>
      <c r="O12" s="210">
        <v>0.05</v>
      </c>
      <c r="P12" s="210">
        <v>0.05</v>
      </c>
      <c r="Q12" s="210">
        <v>0.05</v>
      </c>
      <c r="R12" s="124"/>
      <c r="S12" s="124"/>
      <c r="T12" s="124"/>
      <c r="U12" s="124"/>
      <c r="V12" s="124"/>
      <c r="W12" s="125"/>
      <c r="X12" s="126"/>
      <c r="Y12" s="126"/>
      <c r="Z12" s="124"/>
      <c r="AA12" s="124"/>
      <c r="AB12" s="124"/>
      <c r="AC12" s="124"/>
      <c r="AD12" s="124"/>
      <c r="AE12" s="127"/>
    </row>
    <row r="13" spans="1:34" outlineLevel="2" x14ac:dyDescent="0.3">
      <c r="A13" s="198" t="s">
        <v>78</v>
      </c>
      <c r="B13" s="241">
        <f>(B18/B11)*1000000</f>
        <v>2127.272727272727</v>
      </c>
      <c r="C13" s="241">
        <f t="shared" ref="C13:Q13" si="2">(C18/C11)*1000000</f>
        <v>2106.25</v>
      </c>
      <c r="D13" s="241">
        <f t="shared" si="2"/>
        <v>2085.7142857142858</v>
      </c>
      <c r="E13" s="241">
        <f t="shared" si="2"/>
        <v>2644.5</v>
      </c>
      <c r="F13" s="241">
        <f t="shared" si="2"/>
        <v>2524.52</v>
      </c>
      <c r="G13" s="241">
        <f t="shared" si="2"/>
        <v>2577.3597122302162</v>
      </c>
      <c r="H13" s="241">
        <f t="shared" si="2"/>
        <v>2701.2992125984251</v>
      </c>
      <c r="I13" s="241">
        <f t="shared" si="2"/>
        <v>2611.290076335878</v>
      </c>
      <c r="J13" s="241">
        <f t="shared" si="2"/>
        <v>2700.7662337662337</v>
      </c>
      <c r="K13" s="241">
        <f t="shared" si="2"/>
        <v>3193.3812949640287</v>
      </c>
      <c r="L13" s="241">
        <f t="shared" si="2"/>
        <v>3444.4676806083648</v>
      </c>
      <c r="M13" s="204">
        <f>(M18/M11)*1000000</f>
        <v>3574.4475930841527</v>
      </c>
      <c r="N13" s="204">
        <f>(N18/N11)*1000000</f>
        <v>4102.8441938009419</v>
      </c>
      <c r="O13" s="204">
        <f>(O18/O11)*1000000</f>
        <v>3946.5453673704292</v>
      </c>
      <c r="P13" s="204">
        <f t="shared" si="2"/>
        <v>4134.4760991499734</v>
      </c>
      <c r="Q13" s="204">
        <f t="shared" si="2"/>
        <v>4331.3559133952103</v>
      </c>
      <c r="R13" s="124"/>
      <c r="S13" s="124"/>
      <c r="T13" s="124"/>
      <c r="U13" s="124"/>
      <c r="V13" s="124"/>
      <c r="W13" s="125"/>
      <c r="X13" s="126"/>
      <c r="Y13" s="126"/>
      <c r="Z13" s="124"/>
      <c r="AA13" s="124"/>
      <c r="AB13" s="124"/>
      <c r="AC13" s="124"/>
      <c r="AD13" s="124"/>
      <c r="AE13" s="127"/>
    </row>
    <row r="14" spans="1:34" outlineLevel="2" x14ac:dyDescent="0.3">
      <c r="A14" s="200" t="s">
        <v>77</v>
      </c>
      <c r="B14" s="199"/>
      <c r="C14" s="201">
        <f>C13/B13-1</f>
        <v>-9.8824786324784863E-3</v>
      </c>
      <c r="D14" s="201">
        <f t="shared" ref="D14:L14" si="3">D13/C13-1</f>
        <v>-9.7498940228910591E-3</v>
      </c>
      <c r="E14" s="201">
        <f t="shared" si="3"/>
        <v>0.26791095890410954</v>
      </c>
      <c r="F14" s="201">
        <f t="shared" si="3"/>
        <v>-4.5369635091699778E-2</v>
      </c>
      <c r="G14" s="201">
        <f t="shared" si="3"/>
        <v>2.0930597590914868E-2</v>
      </c>
      <c r="H14" s="201">
        <f t="shared" si="3"/>
        <v>4.8087777495739115E-2</v>
      </c>
      <c r="I14" s="201">
        <f t="shared" si="3"/>
        <v>-3.3320683559510567E-2</v>
      </c>
      <c r="J14" s="201">
        <f t="shared" si="3"/>
        <v>3.4265116021084507E-2</v>
      </c>
      <c r="K14" s="201">
        <f t="shared" si="3"/>
        <v>0.18239825981193514</v>
      </c>
      <c r="L14" s="201">
        <f t="shared" si="3"/>
        <v>7.862712355718382E-2</v>
      </c>
      <c r="M14" s="242">
        <f>M13/L13-1</f>
        <v>3.7735849056603987E-2</v>
      </c>
      <c r="N14" s="54">
        <f>N13/M13-1</f>
        <v>0.14782608695652222</v>
      </c>
      <c r="O14" s="240">
        <f t="shared" ref="O14" si="4">O13/N13-1</f>
        <v>-3.8095238095238293E-2</v>
      </c>
      <c r="P14" s="240">
        <f t="shared" ref="P14" si="5">P13/O13-1</f>
        <v>4.7619047619047672E-2</v>
      </c>
      <c r="Q14" s="240">
        <f t="shared" ref="Q14" si="6">Q13/P13-1</f>
        <v>4.7619047619047672E-2</v>
      </c>
      <c r="R14" s="124"/>
      <c r="S14" s="124"/>
      <c r="T14" s="124"/>
      <c r="U14" s="124"/>
      <c r="V14" s="124"/>
      <c r="W14" s="125"/>
      <c r="X14" s="126"/>
      <c r="Y14" s="126"/>
      <c r="Z14" s="124"/>
      <c r="AA14" s="124"/>
      <c r="AB14" s="124"/>
      <c r="AC14" s="124"/>
      <c r="AD14" s="124"/>
      <c r="AE14" s="127"/>
    </row>
    <row r="15" spans="1:34" outlineLevel="2" x14ac:dyDescent="0.3">
      <c r="A15" s="198" t="s">
        <v>79</v>
      </c>
      <c r="B15" s="241">
        <f>(B23/B11)*1000000</f>
        <v>1432.7272727272725</v>
      </c>
      <c r="C15" s="241">
        <f t="shared" ref="C15:Q15" si="7">(C23/C11)*1000000</f>
        <v>1463.75</v>
      </c>
      <c r="D15" s="241">
        <f t="shared" si="7"/>
        <v>1440.5714285714287</v>
      </c>
      <c r="E15" s="241">
        <f t="shared" si="7"/>
        <v>1765.625</v>
      </c>
      <c r="F15" s="241">
        <f t="shared" si="7"/>
        <v>1624</v>
      </c>
      <c r="G15" s="241">
        <f t="shared" si="7"/>
        <v>1615.8273381294964</v>
      </c>
      <c r="H15" s="241">
        <f t="shared" si="7"/>
        <v>1680.3149606299214</v>
      </c>
      <c r="I15" s="241">
        <f t="shared" si="7"/>
        <v>1651.145038167939</v>
      </c>
      <c r="J15" s="241">
        <f t="shared" si="7"/>
        <v>1704.5454545454545</v>
      </c>
      <c r="K15" s="241">
        <f t="shared" si="7"/>
        <v>2087.9911455451024</v>
      </c>
      <c r="L15" s="241">
        <f t="shared" si="7"/>
        <v>2203.4220532319391</v>
      </c>
      <c r="M15" s="204">
        <f>(M23/M11)*1000000</f>
        <v>2287.6464595738576</v>
      </c>
      <c r="N15" s="204">
        <f t="shared" si="7"/>
        <v>2625.8202840326021</v>
      </c>
      <c r="O15" s="204">
        <f t="shared" si="7"/>
        <v>2525.7890351170745</v>
      </c>
      <c r="P15" s="204">
        <f t="shared" si="7"/>
        <v>2604.7199424644832</v>
      </c>
      <c r="Q15" s="204">
        <f t="shared" si="7"/>
        <v>2728.7542254389828</v>
      </c>
      <c r="R15" s="124"/>
      <c r="S15" s="124"/>
      <c r="T15" s="124"/>
      <c r="U15" s="124"/>
      <c r="V15" s="124"/>
      <c r="W15" s="125"/>
      <c r="X15" s="126"/>
      <c r="Y15" s="126"/>
      <c r="Z15" s="124"/>
      <c r="AA15" s="124"/>
      <c r="AB15" s="124"/>
      <c r="AC15" s="124"/>
      <c r="AD15" s="124"/>
      <c r="AE15" s="127"/>
    </row>
    <row r="16" spans="1:34" outlineLevel="2" x14ac:dyDescent="0.3">
      <c r="A16" s="200" t="s">
        <v>77</v>
      </c>
      <c r="B16" s="199"/>
      <c r="C16" s="201">
        <f>C15/B15-1</f>
        <v>2.1652918781726038E-2</v>
      </c>
      <c r="D16" s="201">
        <f t="shared" ref="D16" si="8">D15/C15-1</f>
        <v>-1.5835061607905265E-2</v>
      </c>
      <c r="E16" s="201">
        <f t="shared" ref="E16" si="9">E15/D15-1</f>
        <v>0.22564210630702086</v>
      </c>
      <c r="F16" s="201">
        <f t="shared" ref="F16" si="10">F15/E15-1</f>
        <v>-8.0212389380530991E-2</v>
      </c>
      <c r="G16" s="201">
        <f t="shared" ref="G16" si="11">G15/F15-1</f>
        <v>-5.0324272601622866E-3</v>
      </c>
      <c r="H16" s="201">
        <f t="shared" ref="H16" si="12">H15/G15-1</f>
        <v>3.9909971182364501E-2</v>
      </c>
      <c r="I16" s="201">
        <f t="shared" ref="I16" si="13">I15/H15-1</f>
        <v>-1.7359794529858363E-2</v>
      </c>
      <c r="J16" s="201">
        <f t="shared" ref="J16" si="14">J15/I15-1</f>
        <v>3.2341444962804111E-2</v>
      </c>
      <c r="K16" s="201">
        <f t="shared" ref="K16" si="15">K15/J15-1</f>
        <v>0.22495480538646007</v>
      </c>
      <c r="L16" s="201">
        <f t="shared" ref="L16" si="16">L15/K15-1</f>
        <v>5.5283236201991492E-2</v>
      </c>
      <c r="M16" s="240">
        <f>M15/L15-1</f>
        <v>3.8224363879076018E-2</v>
      </c>
      <c r="N16" s="240">
        <f>N15/M15-1</f>
        <v>0.147826086956522</v>
      </c>
      <c r="O16" s="240">
        <f t="shared" ref="O16:Q16" si="17">O15/N15-1</f>
        <v>-3.8095238095238071E-2</v>
      </c>
      <c r="P16" s="240">
        <f t="shared" si="17"/>
        <v>3.125E-2</v>
      </c>
      <c r="Q16" s="240">
        <f t="shared" si="17"/>
        <v>4.7619047619047672E-2</v>
      </c>
      <c r="R16" s="124"/>
      <c r="S16" s="124"/>
      <c r="T16" s="124"/>
      <c r="U16" s="124"/>
      <c r="V16" s="124"/>
      <c r="W16" s="125"/>
      <c r="X16" s="126"/>
      <c r="Y16" s="126"/>
      <c r="Z16" s="124"/>
      <c r="AA16" s="124"/>
      <c r="AB16" s="124"/>
      <c r="AC16" s="124"/>
      <c r="AD16" s="124"/>
      <c r="AE16" s="127"/>
    </row>
    <row r="17" spans="1:48" outlineLevel="2" x14ac:dyDescent="0.3">
      <c r="A17" s="200"/>
      <c r="B17" s="199"/>
      <c r="C17" s="201"/>
      <c r="D17" s="201"/>
      <c r="E17" s="201"/>
      <c r="F17" s="201"/>
      <c r="G17" s="201"/>
      <c r="H17" s="201"/>
      <c r="I17" s="201"/>
      <c r="J17" s="201"/>
      <c r="K17" s="201"/>
      <c r="L17" s="201"/>
      <c r="M17" s="240"/>
      <c r="N17" s="240"/>
      <c r="O17" s="240"/>
      <c r="P17" s="240"/>
      <c r="Q17" s="240"/>
      <c r="R17" s="124"/>
      <c r="S17" s="124"/>
      <c r="T17" s="124"/>
      <c r="U17" s="124"/>
      <c r="V17" s="124"/>
      <c r="W17" s="125"/>
      <c r="X17" s="126"/>
      <c r="Y17" s="126"/>
      <c r="Z17" s="124"/>
      <c r="AA17" s="124"/>
      <c r="AB17" s="124"/>
      <c r="AC17" s="124"/>
      <c r="AD17" s="124"/>
      <c r="AE17" s="127"/>
    </row>
    <row r="18" spans="1:48" outlineLevel="2" x14ac:dyDescent="0.3">
      <c r="A18" s="198" t="s">
        <v>80</v>
      </c>
      <c r="B18" s="202">
        <v>234</v>
      </c>
      <c r="C18" s="202">
        <v>337</v>
      </c>
      <c r="D18" s="202">
        <v>365</v>
      </c>
      <c r="E18" s="202">
        <v>423.12</v>
      </c>
      <c r="F18" s="202">
        <v>378.678</v>
      </c>
      <c r="G18" s="202">
        <v>358.25300000000004</v>
      </c>
      <c r="H18" s="202">
        <v>343.065</v>
      </c>
      <c r="I18" s="202">
        <v>342.07900000000001</v>
      </c>
      <c r="J18" s="202">
        <v>415.91800000000001</v>
      </c>
      <c r="K18" s="202">
        <v>577.04399999999998</v>
      </c>
      <c r="L18" s="202">
        <v>724.71600000000001</v>
      </c>
      <c r="M18" s="204">
        <f>L18*(1+M19)</f>
        <v>797.18760000000009</v>
      </c>
      <c r="N18" s="204">
        <f>M18*(1+N19)</f>
        <v>1052.2876320000003</v>
      </c>
      <c r="O18" s="204">
        <f t="shared" ref="O18:Q18" si="18">N18*(1+O19)</f>
        <v>1062.8105083200003</v>
      </c>
      <c r="P18" s="204">
        <f t="shared" si="18"/>
        <v>1169.0915591520004</v>
      </c>
      <c r="Q18" s="204">
        <f t="shared" si="18"/>
        <v>1286.0007150672006</v>
      </c>
      <c r="R18" s="124"/>
      <c r="S18" s="124"/>
      <c r="T18" s="124"/>
      <c r="U18" s="124"/>
      <c r="V18" s="124"/>
      <c r="W18" s="125"/>
      <c r="X18" s="126"/>
      <c r="Y18" s="126"/>
      <c r="Z18" s="124"/>
      <c r="AA18" s="124"/>
      <c r="AB18" s="124"/>
      <c r="AC18" s="124"/>
      <c r="AD18" s="124"/>
      <c r="AE18" s="127"/>
    </row>
    <row r="19" spans="1:48" outlineLevel="2" x14ac:dyDescent="0.3">
      <c r="A19" s="200" t="s">
        <v>77</v>
      </c>
      <c r="B19" s="199"/>
      <c r="C19" s="201">
        <f>C18/B18-1</f>
        <v>0.44017094017094016</v>
      </c>
      <c r="D19" s="201">
        <f t="shared" ref="D19:L19" si="19">D18/C18-1</f>
        <v>8.308605341246289E-2</v>
      </c>
      <c r="E19" s="201">
        <f t="shared" si="19"/>
        <v>0.15923287671232877</v>
      </c>
      <c r="F19" s="201">
        <f t="shared" si="19"/>
        <v>-0.10503403289846858</v>
      </c>
      <c r="G19" s="201">
        <f t="shared" si="19"/>
        <v>-5.3937646232419034E-2</v>
      </c>
      <c r="H19" s="201">
        <f t="shared" si="19"/>
        <v>-4.2394620561446938E-2</v>
      </c>
      <c r="I19" s="201">
        <f t="shared" si="19"/>
        <v>-2.8740909157156658E-3</v>
      </c>
      <c r="J19" s="201">
        <f t="shared" si="19"/>
        <v>0.21585364784158045</v>
      </c>
      <c r="K19" s="201">
        <f t="shared" si="19"/>
        <v>0.38739847758452384</v>
      </c>
      <c r="L19" s="201">
        <f t="shared" si="19"/>
        <v>0.25591116102065015</v>
      </c>
      <c r="M19" s="210">
        <v>0.1</v>
      </c>
      <c r="N19" s="210">
        <v>0.32</v>
      </c>
      <c r="O19" s="210">
        <v>0.01</v>
      </c>
      <c r="P19" s="210">
        <v>0.1</v>
      </c>
      <c r="Q19" s="210">
        <v>0.1</v>
      </c>
      <c r="R19" s="124"/>
      <c r="S19" s="124"/>
      <c r="T19" s="124"/>
      <c r="U19" s="124"/>
      <c r="V19" s="124"/>
      <c r="W19" s="125"/>
      <c r="X19" s="126"/>
      <c r="Y19" s="126"/>
      <c r="Z19" s="124"/>
      <c r="AA19" s="124"/>
      <c r="AB19" s="124"/>
      <c r="AC19" s="124"/>
      <c r="AD19" s="124"/>
      <c r="AE19" s="127"/>
    </row>
    <row r="20" spans="1:48" outlineLevel="2" x14ac:dyDescent="0.3">
      <c r="A20" s="198" t="s">
        <v>81</v>
      </c>
      <c r="B20" s="202">
        <v>76.400000000000006</v>
      </c>
      <c r="C20" s="202">
        <v>102.80000000000001</v>
      </c>
      <c r="D20" s="202">
        <v>112.9</v>
      </c>
      <c r="E20" s="202">
        <v>140.62</v>
      </c>
      <c r="F20" s="202">
        <v>135.078</v>
      </c>
      <c r="G20" s="202">
        <v>133.65300000000005</v>
      </c>
      <c r="H20" s="202">
        <v>129.66499999999999</v>
      </c>
      <c r="I20" s="202">
        <v>125.779</v>
      </c>
      <c r="J20" s="202">
        <v>153.41800000000001</v>
      </c>
      <c r="K20" s="202">
        <v>199.74399999999997</v>
      </c>
      <c r="L20" s="202">
        <v>261.11599999999999</v>
      </c>
      <c r="M20" s="204">
        <f>M18*M22</f>
        <v>286.98753600000003</v>
      </c>
      <c r="N20" s="204">
        <f t="shared" ref="N20:Q20" si="20">N18*N22</f>
        <v>378.82354752000009</v>
      </c>
      <c r="O20" s="204">
        <f t="shared" si="20"/>
        <v>382.61178299520009</v>
      </c>
      <c r="P20" s="204">
        <f t="shared" si="20"/>
        <v>432.56387688624017</v>
      </c>
      <c r="Q20" s="204">
        <f t="shared" si="20"/>
        <v>475.82026457486421</v>
      </c>
      <c r="R20" s="124"/>
      <c r="S20" s="124"/>
      <c r="T20" s="124"/>
      <c r="U20" s="124"/>
      <c r="V20" s="124"/>
      <c r="W20" s="125"/>
      <c r="X20" s="126"/>
      <c r="Y20" s="126"/>
      <c r="Z20" s="124"/>
      <c r="AA20" s="124"/>
      <c r="AB20" s="124"/>
      <c r="AC20" s="124"/>
      <c r="AD20" s="124"/>
      <c r="AE20" s="127"/>
    </row>
    <row r="21" spans="1:48" outlineLevel="2" x14ac:dyDescent="0.3">
      <c r="A21" s="200" t="s">
        <v>77</v>
      </c>
      <c r="B21" s="199"/>
      <c r="C21" s="201">
        <f>C20/B20-1</f>
        <v>0.34554973821989532</v>
      </c>
      <c r="D21" s="201">
        <f t="shared" ref="D21" si="21">D20/C20-1</f>
        <v>9.8249027237353959E-2</v>
      </c>
      <c r="E21" s="201">
        <f t="shared" ref="E21" si="22">E20/D20-1</f>
        <v>0.24552701505757302</v>
      </c>
      <c r="F21" s="201">
        <f t="shared" ref="F21" si="23">F20/E20-1</f>
        <v>-3.9411179064144486E-2</v>
      </c>
      <c r="G21" s="201">
        <f t="shared" ref="G21" si="24">G20/F20-1</f>
        <v>-1.054946031181947E-2</v>
      </c>
      <c r="H21" s="201">
        <f t="shared" ref="H21" si="25">H20/G20-1</f>
        <v>-2.9838462286668088E-2</v>
      </c>
      <c r="I21" s="201">
        <f t="shared" ref="I21" si="26">I20/H20-1</f>
        <v>-2.9969536883507453E-2</v>
      </c>
      <c r="J21" s="201">
        <f t="shared" ref="J21" si="27">J20/I20-1</f>
        <v>0.21974256433903916</v>
      </c>
      <c r="K21" s="201">
        <f t="shared" ref="K21" si="28">K20/J20-1</f>
        <v>0.30195935287906228</v>
      </c>
      <c r="L21" s="201">
        <f t="shared" ref="L21" si="29">L20/K20-1</f>
        <v>0.30725328420378095</v>
      </c>
      <c r="M21" s="240">
        <f t="shared" ref="M21" si="30">M20/L20-1</f>
        <v>9.9080623171311055E-2</v>
      </c>
      <c r="N21" s="240">
        <f t="shared" ref="N21" si="31">N20/M20-1</f>
        <v>0.32000000000000006</v>
      </c>
      <c r="O21" s="240">
        <f t="shared" ref="O21" si="32">O20/N20-1</f>
        <v>1.0000000000000009E-2</v>
      </c>
      <c r="P21" s="240">
        <f t="shared" ref="P21" si="33">P20/O20-1</f>
        <v>0.13055555555555576</v>
      </c>
      <c r="Q21" s="240">
        <f t="shared" ref="Q21" si="34">Q20/P20-1</f>
        <v>0.10000000000000009</v>
      </c>
      <c r="R21" s="124"/>
      <c r="S21" s="124"/>
      <c r="T21" s="124"/>
      <c r="U21" s="124"/>
      <c r="V21" s="124"/>
      <c r="W21" s="125"/>
      <c r="X21" s="126"/>
      <c r="Y21" s="126"/>
      <c r="Z21" s="124"/>
      <c r="AA21" s="124"/>
      <c r="AB21" s="124"/>
      <c r="AC21" s="124"/>
      <c r="AD21" s="124"/>
      <c r="AE21" s="127"/>
    </row>
    <row r="22" spans="1:48" outlineLevel="2" x14ac:dyDescent="0.3">
      <c r="A22" s="200" t="s">
        <v>82</v>
      </c>
      <c r="B22" s="199"/>
      <c r="C22" s="201">
        <f>C20/C18</f>
        <v>0.3050445103857567</v>
      </c>
      <c r="D22" s="201">
        <f t="shared" ref="D22:L22" si="35">D20/D18</f>
        <v>0.30931506849315071</v>
      </c>
      <c r="E22" s="201">
        <f t="shared" si="35"/>
        <v>0.33234070712800151</v>
      </c>
      <c r="F22" s="201">
        <f t="shared" si="35"/>
        <v>0.35670939426108728</v>
      </c>
      <c r="G22" s="201">
        <f t="shared" si="35"/>
        <v>0.37306875308790166</v>
      </c>
      <c r="H22" s="201">
        <f t="shared" si="35"/>
        <v>0.37796044481366503</v>
      </c>
      <c r="I22" s="201">
        <f t="shared" si="35"/>
        <v>0.36768991957998004</v>
      </c>
      <c r="J22" s="201">
        <f t="shared" si="35"/>
        <v>0.36886597838997109</v>
      </c>
      <c r="K22" s="201">
        <f t="shared" si="35"/>
        <v>0.34615038021364053</v>
      </c>
      <c r="L22" s="201">
        <f t="shared" si="35"/>
        <v>0.36030113865293439</v>
      </c>
      <c r="M22" s="210">
        <v>0.36</v>
      </c>
      <c r="N22" s="210">
        <v>0.36</v>
      </c>
      <c r="O22" s="210">
        <v>0.36</v>
      </c>
      <c r="P22" s="210">
        <v>0.37</v>
      </c>
      <c r="Q22" s="210">
        <v>0.37</v>
      </c>
      <c r="R22" s="124"/>
      <c r="S22" s="124"/>
      <c r="T22" s="124"/>
      <c r="U22" s="124"/>
      <c r="V22" s="124"/>
      <c r="W22" s="125"/>
      <c r="X22" s="126"/>
      <c r="Y22" s="126"/>
      <c r="Z22" s="124"/>
      <c r="AA22" s="124"/>
      <c r="AB22" s="124"/>
      <c r="AC22" s="124"/>
      <c r="AD22" s="124"/>
      <c r="AE22" s="127"/>
    </row>
    <row r="23" spans="1:48" outlineLevel="2" x14ac:dyDescent="0.3">
      <c r="A23" s="198" t="s">
        <v>83</v>
      </c>
      <c r="B23" s="202">
        <v>157.6</v>
      </c>
      <c r="C23" s="202">
        <v>234.2</v>
      </c>
      <c r="D23" s="202">
        <v>252.1</v>
      </c>
      <c r="E23" s="202">
        <v>282.5</v>
      </c>
      <c r="F23" s="202">
        <v>243.6</v>
      </c>
      <c r="G23" s="202">
        <v>224.6</v>
      </c>
      <c r="H23" s="202">
        <v>213.4</v>
      </c>
      <c r="I23" s="202">
        <v>216.3</v>
      </c>
      <c r="J23" s="202">
        <v>262.5</v>
      </c>
      <c r="K23" s="202">
        <v>377.3</v>
      </c>
      <c r="L23" s="202">
        <v>463.6</v>
      </c>
      <c r="M23" s="204">
        <f>M18-M20</f>
        <v>510.20006400000005</v>
      </c>
      <c r="N23" s="204">
        <f t="shared" ref="N23:Q23" si="36">N18-N20</f>
        <v>673.46408448000011</v>
      </c>
      <c r="O23" s="204">
        <f t="shared" si="36"/>
        <v>680.19872532480019</v>
      </c>
      <c r="P23" s="204">
        <f t="shared" si="36"/>
        <v>736.52768226576018</v>
      </c>
      <c r="Q23" s="204">
        <f t="shared" si="36"/>
        <v>810.18045049233638</v>
      </c>
      <c r="R23" s="235"/>
      <c r="S23" s="235"/>
      <c r="T23" s="235"/>
      <c r="U23" s="235"/>
      <c r="V23" s="235"/>
      <c r="W23" s="236"/>
      <c r="X23" s="237"/>
      <c r="Y23" s="237"/>
      <c r="Z23" s="235"/>
      <c r="AA23" s="235"/>
      <c r="AB23" s="235"/>
      <c r="AC23" s="235"/>
      <c r="AD23" s="235"/>
      <c r="AE23" s="238"/>
      <c r="AF23" s="239"/>
      <c r="AG23" s="239"/>
      <c r="AH23" s="239"/>
      <c r="AI23" s="239"/>
      <c r="AJ23" s="239"/>
      <c r="AK23" s="239"/>
      <c r="AL23" s="239"/>
      <c r="AM23" s="239"/>
      <c r="AN23" s="239"/>
      <c r="AO23" s="239"/>
      <c r="AP23" s="239"/>
      <c r="AQ23" s="239"/>
      <c r="AR23" s="239"/>
      <c r="AS23" s="239"/>
      <c r="AT23" s="239"/>
      <c r="AU23" s="239"/>
      <c r="AV23" s="239"/>
    </row>
    <row r="24" spans="1:48" outlineLevel="2" x14ac:dyDescent="0.3">
      <c r="A24" s="200" t="s">
        <v>77</v>
      </c>
      <c r="B24" s="199"/>
      <c r="C24" s="201">
        <f t="shared" ref="C24:L24" si="37">C23/B23-1</f>
        <v>0.48604060913705571</v>
      </c>
      <c r="D24" s="201">
        <f t="shared" si="37"/>
        <v>7.6430401366353484E-2</v>
      </c>
      <c r="E24" s="201">
        <f t="shared" si="37"/>
        <v>0.12058706862356217</v>
      </c>
      <c r="F24" s="201">
        <f t="shared" si="37"/>
        <v>-0.13769911504424781</v>
      </c>
      <c r="G24" s="201">
        <f t="shared" si="37"/>
        <v>-7.7996715927750371E-2</v>
      </c>
      <c r="H24" s="201">
        <f t="shared" si="37"/>
        <v>-4.9866429207479968E-2</v>
      </c>
      <c r="I24" s="201">
        <f t="shared" si="37"/>
        <v>1.3589503280224902E-2</v>
      </c>
      <c r="J24" s="201">
        <f t="shared" si="37"/>
        <v>0.21359223300970864</v>
      </c>
      <c r="K24" s="201">
        <f t="shared" si="37"/>
        <v>0.43733333333333335</v>
      </c>
      <c r="L24" s="201">
        <f t="shared" si="37"/>
        <v>0.22873045322024921</v>
      </c>
      <c r="M24" s="240">
        <f>M23/L23-1</f>
        <v>0.10051782571182066</v>
      </c>
      <c r="N24" s="240">
        <f t="shared" ref="N24:Q24" si="38">N23/M23-1</f>
        <v>0.32000000000000006</v>
      </c>
      <c r="O24" s="240">
        <f t="shared" si="38"/>
        <v>1.0000000000000231E-2</v>
      </c>
      <c r="P24" s="240">
        <f t="shared" si="38"/>
        <v>8.2812499999999956E-2</v>
      </c>
      <c r="Q24" s="240">
        <f t="shared" si="38"/>
        <v>0.10000000000000031</v>
      </c>
      <c r="R24" s="235"/>
      <c r="S24" s="235"/>
      <c r="T24" s="235"/>
      <c r="U24" s="235"/>
      <c r="V24" s="235"/>
      <c r="W24" s="236"/>
      <c r="X24" s="237"/>
      <c r="Y24" s="237"/>
      <c r="Z24" s="235"/>
      <c r="AA24" s="235"/>
      <c r="AB24" s="235"/>
      <c r="AC24" s="235"/>
      <c r="AD24" s="235"/>
      <c r="AE24" s="238"/>
      <c r="AF24" s="239"/>
      <c r="AG24" s="239"/>
      <c r="AH24" s="239"/>
      <c r="AI24" s="239"/>
      <c r="AJ24" s="239"/>
      <c r="AK24" s="239"/>
      <c r="AL24" s="239"/>
      <c r="AM24" s="239"/>
      <c r="AN24" s="239"/>
      <c r="AO24" s="239"/>
      <c r="AP24" s="239"/>
      <c r="AQ24" s="239"/>
      <c r="AR24" s="239"/>
      <c r="AS24" s="239"/>
      <c r="AT24" s="239"/>
      <c r="AU24" s="239"/>
      <c r="AV24" s="239"/>
    </row>
    <row r="25" spans="1:48" s="239" customFormat="1" outlineLevel="2" x14ac:dyDescent="0.3">
      <c r="A25" s="198"/>
      <c r="B25" s="202"/>
      <c r="C25" s="202"/>
      <c r="D25" s="202"/>
      <c r="E25" s="202"/>
      <c r="F25" s="202"/>
      <c r="G25" s="202"/>
      <c r="H25" s="202"/>
      <c r="I25" s="202"/>
      <c r="J25" s="202"/>
      <c r="K25" s="202"/>
      <c r="L25" s="202"/>
      <c r="M25" s="214"/>
      <c r="N25" s="214"/>
      <c r="O25" s="214"/>
      <c r="P25"/>
      <c r="Q25"/>
      <c r="R25" s="235"/>
      <c r="S25" s="235"/>
      <c r="T25" s="235"/>
      <c r="U25" s="235"/>
      <c r="V25" s="235"/>
      <c r="W25" s="236"/>
      <c r="X25" s="237"/>
      <c r="Y25" s="237"/>
      <c r="Z25" s="235"/>
      <c r="AA25" s="235"/>
      <c r="AB25" s="235"/>
      <c r="AC25" s="235"/>
      <c r="AD25" s="235"/>
      <c r="AE25" s="238"/>
    </row>
    <row r="26" spans="1:48" s="239" customFormat="1" outlineLevel="2" x14ac:dyDescent="0.3">
      <c r="A26" s="198" t="s">
        <v>84</v>
      </c>
      <c r="B26" s="202">
        <f>'GAAP-IFRS'!E11-B23</f>
        <v>5.4650000000000034</v>
      </c>
      <c r="C26" s="202">
        <f>'GAAP-IFRS'!F11-C23</f>
        <v>6.8880000000000052</v>
      </c>
      <c r="D26" s="202">
        <f>'GAAP-IFRS'!G11-D23</f>
        <v>14.114999999999981</v>
      </c>
      <c r="E26" s="202">
        <f>'GAAP-IFRS'!H11-E23</f>
        <v>8.1329999999999814</v>
      </c>
      <c r="F26" s="202">
        <f>'GAAP-IFRS'!I11-F23</f>
        <v>19.169999999999987</v>
      </c>
      <c r="G26" s="202">
        <f>'GAAP-IFRS'!J11-G23</f>
        <v>21.272999999999996</v>
      </c>
      <c r="H26" s="202">
        <f>'GAAP-IFRS'!K11-H23</f>
        <v>17.972000000000008</v>
      </c>
      <c r="I26" s="202">
        <f>'GAAP-IFRS'!L11-I23</f>
        <v>26.462999999999994</v>
      </c>
      <c r="J26" s="202">
        <f>'GAAP-IFRS'!M11-J23</f>
        <v>11.579000000000008</v>
      </c>
      <c r="K26" s="202">
        <f>'GAAP-IFRS'!N11-K23</f>
        <v>27.824999999999989</v>
      </c>
      <c r="L26" s="202">
        <f>'GAAP-IFRS'!O11-L23</f>
        <v>35.962999999999965</v>
      </c>
      <c r="M26" s="204">
        <f>L26*(1+M27)</f>
        <v>41.71707999999996</v>
      </c>
      <c r="N26" s="204">
        <f t="shared" ref="N26" si="39">M26*(1+N27)</f>
        <v>39.631225999999963</v>
      </c>
      <c r="O26" s="204">
        <f t="shared" ref="O26" si="40">N26*(1+O27)</f>
        <v>35.668103399999964</v>
      </c>
      <c r="P26" s="204">
        <f t="shared" ref="P26" si="41">O26*(1+P27)</f>
        <v>37.451508569999966</v>
      </c>
      <c r="Q26" s="204">
        <f t="shared" ref="Q26" si="42">P26*(1+Q27)</f>
        <v>39.324083998499965</v>
      </c>
      <c r="R26" s="235"/>
      <c r="S26" s="235"/>
      <c r="T26" s="235"/>
      <c r="U26" s="235"/>
      <c r="V26" s="235"/>
      <c r="W26" s="236"/>
      <c r="X26" s="237"/>
      <c r="Y26" s="237"/>
      <c r="Z26" s="235"/>
      <c r="AA26" s="235"/>
      <c r="AB26" s="235"/>
      <c r="AC26" s="235"/>
      <c r="AD26" s="235"/>
      <c r="AE26" s="238"/>
    </row>
    <row r="27" spans="1:48" outlineLevel="2" x14ac:dyDescent="0.3">
      <c r="A27" s="200" t="s">
        <v>77</v>
      </c>
      <c r="B27" s="199"/>
      <c r="C27" s="201">
        <f t="shared" ref="C27" si="43">C26/B26-1</f>
        <v>0.26038426349496824</v>
      </c>
      <c r="D27" s="201">
        <f t="shared" ref="D27" si="44">D26/C26-1</f>
        <v>1.0492160278745599</v>
      </c>
      <c r="E27" s="201">
        <f t="shared" ref="E27" si="45">E26/D26-1</f>
        <v>-0.42380446333687616</v>
      </c>
      <c r="F27" s="201">
        <f t="shared" ref="F27" si="46">F26/E26-1</f>
        <v>1.3570638140907452</v>
      </c>
      <c r="G27" s="201">
        <f t="shared" ref="G27" si="47">G26/F26-1</f>
        <v>0.10970266040688625</v>
      </c>
      <c r="H27" s="201">
        <f t="shared" ref="H27" si="48">H26/G26-1</f>
        <v>-0.15517322427490188</v>
      </c>
      <c r="I27" s="201">
        <f t="shared" ref="I27" si="49">I26/H26-1</f>
        <v>0.47245715557533829</v>
      </c>
      <c r="J27" s="201">
        <f t="shared" ref="J27" si="50">J26/I26-1</f>
        <v>-0.5624456788723875</v>
      </c>
      <c r="K27" s="201">
        <f t="shared" ref="K27" si="51">K26/J26-1</f>
        <v>1.4030572588306391</v>
      </c>
      <c r="L27" s="201">
        <f t="shared" ref="L27" si="52">L26/K26-1</f>
        <v>0.29247079964061018</v>
      </c>
      <c r="M27" s="210">
        <v>0.16</v>
      </c>
      <c r="N27" s="210">
        <v>-0.05</v>
      </c>
      <c r="O27" s="210">
        <v>-0.1</v>
      </c>
      <c r="P27" s="210">
        <v>0.05</v>
      </c>
      <c r="Q27" s="210">
        <v>0.05</v>
      </c>
      <c r="R27" s="235"/>
      <c r="S27" s="235"/>
      <c r="T27" s="235"/>
      <c r="U27" s="235"/>
      <c r="V27" s="235"/>
      <c r="W27" s="236"/>
      <c r="X27" s="237"/>
      <c r="Y27" s="237"/>
      <c r="Z27" s="235"/>
      <c r="AA27" s="235"/>
      <c r="AB27" s="235"/>
      <c r="AC27" s="235"/>
      <c r="AD27" s="235"/>
      <c r="AE27" s="238"/>
      <c r="AF27" s="239"/>
      <c r="AG27" s="239"/>
      <c r="AH27" s="239"/>
      <c r="AI27" s="239"/>
      <c r="AJ27" s="239"/>
      <c r="AK27" s="239"/>
      <c r="AL27" s="239"/>
      <c r="AM27" s="239"/>
      <c r="AN27" s="239"/>
      <c r="AO27" s="239"/>
      <c r="AP27" s="239"/>
      <c r="AQ27" s="239"/>
      <c r="AR27" s="239"/>
      <c r="AS27" s="239"/>
      <c r="AT27" s="239"/>
      <c r="AU27" s="239"/>
      <c r="AV27" s="239"/>
    </row>
    <row r="28" spans="1:48" outlineLevel="2" x14ac:dyDescent="0.3">
      <c r="A28" s="1"/>
      <c r="B28" s="204"/>
      <c r="C28" s="204"/>
      <c r="D28" s="204"/>
      <c r="E28" s="204"/>
      <c r="F28" s="204"/>
      <c r="G28" s="204"/>
      <c r="H28" s="204"/>
      <c r="I28" s="204"/>
      <c r="J28" s="204"/>
      <c r="K28" s="204"/>
      <c r="L28" s="204"/>
      <c r="M28" s="123"/>
      <c r="N28" s="123"/>
      <c r="O28" s="123"/>
      <c r="P28" s="123"/>
      <c r="Q28" s="123"/>
      <c r="R28" s="124"/>
      <c r="S28" s="124"/>
      <c r="T28" s="124"/>
      <c r="U28" s="124"/>
      <c r="V28" s="124"/>
      <c r="W28" s="203"/>
      <c r="X28" s="126"/>
      <c r="Y28" s="126"/>
      <c r="Z28" s="124"/>
      <c r="AA28" s="124"/>
      <c r="AB28" s="124"/>
      <c r="AC28" s="124"/>
      <c r="AD28" s="124"/>
      <c r="AE28" s="127"/>
    </row>
    <row r="29" spans="1:48" outlineLevel="2" x14ac:dyDescent="0.3">
      <c r="A29" s="208"/>
      <c r="B29" s="209"/>
      <c r="C29" s="209"/>
      <c r="D29" s="209"/>
      <c r="E29" s="209"/>
      <c r="F29" s="209"/>
      <c r="G29" s="209"/>
      <c r="H29" s="209"/>
      <c r="I29" s="209"/>
      <c r="J29" s="209"/>
      <c r="K29" s="209"/>
      <c r="L29" s="209"/>
      <c r="M29" s="204"/>
      <c r="N29" s="204"/>
      <c r="O29" s="123"/>
      <c r="P29" s="123"/>
      <c r="Q29" s="123"/>
      <c r="R29" s="124"/>
      <c r="S29" s="124"/>
      <c r="T29" s="124"/>
      <c r="U29" s="124"/>
      <c r="V29" s="124"/>
      <c r="W29" s="203"/>
      <c r="X29" s="126"/>
      <c r="Y29" s="126"/>
      <c r="Z29" s="124"/>
      <c r="AA29" s="124"/>
      <c r="AB29" s="124"/>
      <c r="AC29" s="124"/>
      <c r="AD29" s="124"/>
      <c r="AE29" s="127"/>
    </row>
    <row r="30" spans="1:48" outlineLevel="2" x14ac:dyDescent="0.3">
      <c r="A30" s="205"/>
      <c r="B30" s="206"/>
      <c r="C30" s="54"/>
      <c r="D30" s="54"/>
      <c r="E30" s="54"/>
      <c r="F30" s="54"/>
      <c r="G30" s="54"/>
      <c r="H30" s="54"/>
      <c r="I30" s="54"/>
      <c r="J30" s="54"/>
      <c r="K30" s="54"/>
      <c r="L30" s="54"/>
      <c r="M30" s="123"/>
      <c r="N30" s="204"/>
      <c r="O30" s="123"/>
      <c r="P30" s="123"/>
      <c r="Q30" s="123"/>
      <c r="R30" s="124"/>
      <c r="S30" s="124"/>
      <c r="T30" s="124"/>
      <c r="U30" s="124"/>
      <c r="V30" s="124"/>
      <c r="W30" s="203"/>
      <c r="X30" s="126"/>
      <c r="Y30" s="126"/>
      <c r="Z30" s="124"/>
      <c r="AA30" s="124"/>
      <c r="AB30" s="124"/>
      <c r="AC30" s="124"/>
      <c r="AD30" s="124"/>
      <c r="AE30" s="127"/>
    </row>
    <row r="31" spans="1:48" outlineLevel="2" x14ac:dyDescent="0.3">
      <c r="A31" s="205"/>
      <c r="B31" s="206"/>
      <c r="C31" s="54"/>
      <c r="D31" s="54"/>
      <c r="E31" s="54"/>
      <c r="F31" s="54"/>
      <c r="G31" s="54"/>
      <c r="H31" s="54"/>
      <c r="I31" s="54"/>
      <c r="J31" s="54"/>
      <c r="K31" s="54"/>
      <c r="L31" s="54"/>
      <c r="M31" s="204"/>
      <c r="N31" s="204"/>
      <c r="O31" s="123"/>
      <c r="P31" s="123"/>
      <c r="Q31" s="123"/>
      <c r="R31" s="124"/>
      <c r="S31" s="124"/>
      <c r="T31" s="124"/>
      <c r="U31" s="124"/>
      <c r="V31" s="124"/>
      <c r="W31" s="203"/>
      <c r="X31" s="126"/>
      <c r="Y31" s="126"/>
      <c r="Z31" s="124"/>
      <c r="AA31" s="124"/>
      <c r="AB31" s="124"/>
      <c r="AC31" s="124"/>
      <c r="AD31" s="124"/>
      <c r="AE31" s="127"/>
    </row>
    <row r="32" spans="1:48" outlineLevel="2" x14ac:dyDescent="0.3">
      <c r="A32" s="1"/>
      <c r="B32" s="54"/>
      <c r="C32" s="54"/>
      <c r="D32" s="54"/>
      <c r="E32" s="54"/>
      <c r="F32" s="54"/>
      <c r="G32" s="54"/>
      <c r="H32" s="54"/>
      <c r="I32" s="54"/>
      <c r="J32" s="54"/>
      <c r="K32" s="54"/>
      <c r="L32" s="54"/>
      <c r="M32" s="204"/>
      <c r="N32" s="123"/>
      <c r="O32" s="123"/>
      <c r="P32" s="123"/>
      <c r="Q32" s="123"/>
      <c r="R32" s="124"/>
      <c r="S32" s="124"/>
      <c r="T32" s="124"/>
      <c r="U32" s="124"/>
      <c r="V32" s="124"/>
      <c r="W32" s="125"/>
      <c r="X32" s="126"/>
      <c r="Y32" s="126"/>
      <c r="Z32" s="124"/>
      <c r="AA32" s="124"/>
      <c r="AB32" s="124"/>
      <c r="AC32" s="124"/>
      <c r="AD32" s="124"/>
      <c r="AE32" s="127"/>
    </row>
    <row r="33" spans="1:31" outlineLevel="2" x14ac:dyDescent="0.3">
      <c r="A33" s="129"/>
      <c r="C33" s="130"/>
      <c r="D33" s="130"/>
      <c r="E33" s="130"/>
      <c r="F33" s="130"/>
      <c r="G33" s="130"/>
      <c r="H33" s="130"/>
      <c r="I33" s="130"/>
      <c r="J33" s="130"/>
      <c r="K33" s="130"/>
      <c r="L33" s="130"/>
      <c r="M33" s="123"/>
      <c r="N33" s="123"/>
      <c r="O33" s="123"/>
      <c r="P33" s="123"/>
      <c r="Q33" s="123"/>
      <c r="R33" s="124"/>
      <c r="S33" s="124"/>
      <c r="T33" s="124"/>
      <c r="U33" s="124"/>
      <c r="V33" s="124"/>
      <c r="W33" s="125"/>
      <c r="X33" s="126"/>
      <c r="Y33" s="126"/>
      <c r="Z33" s="124"/>
      <c r="AA33" s="124"/>
      <c r="AB33" s="124"/>
      <c r="AC33" s="124"/>
      <c r="AD33" s="124"/>
      <c r="AE33" s="127"/>
    </row>
    <row r="34" spans="1:31" outlineLevel="2" x14ac:dyDescent="0.3">
      <c r="A34" s="133"/>
      <c r="B34" s="133"/>
      <c r="C34" s="133"/>
      <c r="D34" s="133"/>
      <c r="E34" s="133"/>
      <c r="F34" s="133"/>
      <c r="G34" s="133"/>
      <c r="H34" s="133"/>
      <c r="I34" s="133"/>
      <c r="J34" s="133"/>
      <c r="K34" s="133"/>
      <c r="L34" s="133"/>
      <c r="M34" s="133"/>
      <c r="N34" s="133"/>
      <c r="O34" s="133"/>
      <c r="P34" s="133"/>
      <c r="Q34" s="133"/>
      <c r="R34" s="121"/>
      <c r="S34" s="121"/>
      <c r="T34" s="121"/>
      <c r="U34" s="121"/>
      <c r="V34" s="121"/>
      <c r="AC34" s="76"/>
    </row>
    <row r="35" spans="1:31" outlineLevel="2" x14ac:dyDescent="0.3">
      <c r="A35" s="131"/>
      <c r="B35" s="132"/>
      <c r="C35" s="133"/>
      <c r="D35" s="133"/>
      <c r="E35" s="133"/>
      <c r="F35" s="133"/>
      <c r="G35" s="133"/>
      <c r="H35" s="133"/>
      <c r="I35" s="133"/>
      <c r="J35" s="133"/>
      <c r="K35" s="133"/>
      <c r="L35" s="133"/>
      <c r="M35" s="133"/>
      <c r="N35" s="133"/>
      <c r="O35" s="133"/>
      <c r="P35" s="133"/>
      <c r="Q35" s="133"/>
      <c r="R35" s="121"/>
      <c r="S35" s="121"/>
      <c r="T35" s="121"/>
      <c r="U35" s="121"/>
      <c r="V35" s="121"/>
      <c r="AC35" s="76"/>
    </row>
    <row r="36" spans="1:31" outlineLevel="2" x14ac:dyDescent="0.3">
      <c r="A36" s="78"/>
      <c r="C36" s="133"/>
      <c r="D36" s="133"/>
      <c r="E36" s="133"/>
      <c r="F36" s="133"/>
      <c r="G36" s="133"/>
      <c r="H36" s="133"/>
      <c r="I36" s="133"/>
      <c r="J36" s="133"/>
      <c r="K36" s="133"/>
      <c r="L36" s="133"/>
      <c r="M36" s="133"/>
      <c r="N36" s="133"/>
      <c r="O36" s="133"/>
      <c r="P36" s="133"/>
      <c r="Q36" s="133"/>
      <c r="R36" s="124"/>
      <c r="S36" s="124"/>
      <c r="T36" s="124"/>
      <c r="U36" s="124"/>
      <c r="V36" s="124"/>
      <c r="W36" s="125"/>
      <c r="X36" s="126"/>
      <c r="Y36" s="126"/>
      <c r="Z36" s="124"/>
      <c r="AA36" s="124"/>
      <c r="AB36" s="124"/>
      <c r="AC36" s="124"/>
      <c r="AD36" s="124"/>
      <c r="AE36" s="127"/>
    </row>
    <row r="37" spans="1:31" outlineLevel="2" collapsed="1" x14ac:dyDescent="0.3">
      <c r="A37" s="129"/>
      <c r="C37" s="130"/>
      <c r="D37" s="130"/>
      <c r="E37" s="130"/>
      <c r="F37" s="130"/>
      <c r="G37" s="130"/>
      <c r="H37" s="130"/>
      <c r="I37" s="130"/>
      <c r="J37" s="130"/>
      <c r="K37" s="130"/>
      <c r="L37" s="130"/>
      <c r="M37" s="123"/>
      <c r="N37" s="123"/>
      <c r="O37" s="123"/>
      <c r="P37" s="123"/>
      <c r="Q37" s="123"/>
      <c r="R37" s="124"/>
      <c r="S37" s="124"/>
      <c r="T37" s="124"/>
      <c r="U37" s="124"/>
      <c r="V37" s="124"/>
      <c r="W37" s="125"/>
      <c r="X37" s="126"/>
      <c r="Y37" s="126"/>
      <c r="Z37" s="124"/>
      <c r="AA37" s="124"/>
      <c r="AB37" s="124"/>
      <c r="AC37" s="124"/>
      <c r="AD37" s="124"/>
      <c r="AE37" s="127"/>
    </row>
    <row r="38" spans="1:31" outlineLevel="2" x14ac:dyDescent="0.3">
      <c r="A38" s="131"/>
      <c r="B38" s="132"/>
      <c r="C38" s="132"/>
      <c r="D38" s="132"/>
      <c r="E38" s="132"/>
      <c r="F38" s="132"/>
      <c r="G38" s="132"/>
      <c r="H38" s="132"/>
      <c r="I38" s="132"/>
      <c r="J38" s="132"/>
      <c r="K38" s="132"/>
      <c r="L38" s="132"/>
      <c r="M38" s="123"/>
      <c r="N38" s="123"/>
      <c r="O38" s="121"/>
      <c r="P38" s="121"/>
      <c r="Q38" s="121"/>
      <c r="R38" s="121"/>
      <c r="S38" s="121"/>
      <c r="T38" s="121"/>
      <c r="U38" s="121"/>
      <c r="V38" s="121"/>
      <c r="AC38" s="76"/>
    </row>
    <row r="39" spans="1:31" outlineLevel="2" x14ac:dyDescent="0.3">
      <c r="A39" s="131"/>
      <c r="B39" s="134"/>
      <c r="C39" s="134"/>
      <c r="D39" s="134"/>
      <c r="E39" s="134"/>
      <c r="F39" s="134"/>
      <c r="G39" s="134"/>
      <c r="H39" s="134"/>
      <c r="I39" s="134"/>
      <c r="J39" s="134"/>
      <c r="K39" s="134"/>
      <c r="L39" s="134"/>
      <c r="M39" s="134"/>
      <c r="N39" s="134"/>
      <c r="O39" s="121"/>
      <c r="P39" s="121"/>
      <c r="Q39" s="121"/>
      <c r="R39" s="121"/>
      <c r="S39" s="121"/>
      <c r="T39" s="121"/>
      <c r="U39" s="121"/>
      <c r="V39" s="121"/>
      <c r="AC39" s="76"/>
    </row>
    <row r="40" spans="1:31" outlineLevel="2" x14ac:dyDescent="0.3">
      <c r="A40" s="131"/>
      <c r="B40" s="132"/>
      <c r="C40" s="132"/>
      <c r="D40" s="132"/>
      <c r="E40" s="132"/>
      <c r="F40" s="132"/>
      <c r="G40" s="132"/>
      <c r="H40" s="132"/>
      <c r="I40" s="132"/>
      <c r="J40" s="132"/>
      <c r="K40" s="132"/>
      <c r="L40" s="132"/>
      <c r="M40" s="132"/>
      <c r="N40" s="132"/>
      <c r="O40" s="121"/>
      <c r="P40" s="121"/>
      <c r="Q40" s="121"/>
      <c r="R40" s="121"/>
      <c r="S40" s="121"/>
      <c r="T40" s="121"/>
      <c r="U40" s="121"/>
      <c r="V40" s="121"/>
      <c r="AC40" s="76"/>
    </row>
    <row r="41" spans="1:31" outlineLevel="2" x14ac:dyDescent="0.3">
      <c r="B41" s="121"/>
      <c r="C41" s="121"/>
      <c r="D41" s="121"/>
      <c r="E41" s="121"/>
      <c r="F41" s="121"/>
      <c r="G41" s="121"/>
      <c r="H41" s="121"/>
      <c r="I41" s="121"/>
      <c r="J41" s="121"/>
      <c r="K41" s="121"/>
      <c r="L41" s="121"/>
      <c r="M41" s="121"/>
      <c r="N41" s="121"/>
      <c r="O41" s="121"/>
      <c r="P41" s="121"/>
      <c r="Q41" s="121"/>
      <c r="R41" s="121"/>
      <c r="S41" s="121"/>
      <c r="T41" s="121"/>
      <c r="U41" s="121"/>
      <c r="V41" s="121"/>
      <c r="AC41" s="76"/>
    </row>
    <row r="42" spans="1:31" outlineLevel="2" x14ac:dyDescent="0.3">
      <c r="B42" s="121"/>
      <c r="C42" s="121"/>
      <c r="D42" s="121"/>
      <c r="E42" s="121" t="s">
        <v>85</v>
      </c>
      <c r="F42" s="121"/>
      <c r="G42" s="121"/>
      <c r="H42" s="121"/>
      <c r="I42" s="121"/>
      <c r="J42" s="121"/>
      <c r="K42" s="121"/>
      <c r="L42" s="121"/>
      <c r="M42" s="121"/>
      <c r="N42" s="121"/>
      <c r="O42" s="121"/>
      <c r="P42" s="121"/>
      <c r="Q42" s="121"/>
      <c r="R42" s="121"/>
      <c r="S42" s="121"/>
      <c r="T42" s="121"/>
      <c r="U42" s="121"/>
      <c r="V42" s="121"/>
      <c r="AC42" s="76"/>
    </row>
    <row r="43" spans="1:31" outlineLevel="2" x14ac:dyDescent="0.3">
      <c r="B43" s="121"/>
      <c r="C43" s="121"/>
      <c r="D43" s="121"/>
      <c r="E43" s="121"/>
      <c r="F43" s="121"/>
      <c r="G43" s="121"/>
      <c r="H43" s="121"/>
      <c r="I43" s="121"/>
      <c r="J43" s="121"/>
      <c r="K43" s="121"/>
      <c r="L43" s="121"/>
      <c r="M43" s="215"/>
      <c r="N43" s="215"/>
      <c r="O43" s="215"/>
      <c r="P43" s="121"/>
      <c r="Q43" s="121"/>
      <c r="R43" s="121"/>
      <c r="S43" s="121"/>
      <c r="T43" s="121"/>
      <c r="U43" s="121"/>
      <c r="V43" s="121"/>
      <c r="AC43" s="76"/>
    </row>
    <row r="44" spans="1:31" outlineLevel="2" x14ac:dyDescent="0.3">
      <c r="B44" s="121"/>
      <c r="C44" s="121"/>
      <c r="D44" s="121"/>
      <c r="E44" s="121"/>
      <c r="F44" s="121"/>
      <c r="G44" s="121"/>
      <c r="H44" s="121"/>
      <c r="I44" s="121"/>
      <c r="J44" s="121"/>
      <c r="K44" s="121"/>
      <c r="L44" s="121"/>
      <c r="M44" s="121"/>
      <c r="N44" s="121"/>
      <c r="O44" s="121"/>
      <c r="P44" s="121"/>
      <c r="Q44" s="121"/>
      <c r="R44" s="121"/>
      <c r="S44" s="121"/>
      <c r="T44" s="121"/>
      <c r="U44" s="121"/>
      <c r="V44" s="121"/>
      <c r="AC44" s="76"/>
    </row>
    <row r="45" spans="1:31" ht="14.45" customHeight="1" outlineLevel="2" x14ac:dyDescent="0.3">
      <c r="A45" s="131" t="s">
        <v>86</v>
      </c>
      <c r="B45" s="133">
        <f t="shared" ref="B45:Q45" si="53">B23+B26</f>
        <v>163.065</v>
      </c>
      <c r="C45" s="133">
        <f t="shared" si="53"/>
        <v>241.08799999999999</v>
      </c>
      <c r="D45" s="133">
        <f t="shared" si="53"/>
        <v>266.21499999999997</v>
      </c>
      <c r="E45" s="133">
        <f t="shared" si="53"/>
        <v>290.63299999999998</v>
      </c>
      <c r="F45" s="133">
        <f t="shared" si="53"/>
        <v>262.77</v>
      </c>
      <c r="G45" s="133">
        <f t="shared" si="53"/>
        <v>245.87299999999999</v>
      </c>
      <c r="H45" s="133">
        <f t="shared" si="53"/>
        <v>231.37200000000001</v>
      </c>
      <c r="I45" s="133">
        <f t="shared" si="53"/>
        <v>242.76300000000001</v>
      </c>
      <c r="J45" s="133">
        <f t="shared" si="53"/>
        <v>274.07900000000001</v>
      </c>
      <c r="K45" s="133">
        <f t="shared" si="53"/>
        <v>405.125</v>
      </c>
      <c r="L45" s="133">
        <f t="shared" si="53"/>
        <v>499.56299999999999</v>
      </c>
      <c r="M45" s="133">
        <f>M23+M26</f>
        <v>551.91714400000001</v>
      </c>
      <c r="N45" s="133">
        <f t="shared" si="53"/>
        <v>713.09531048000008</v>
      </c>
      <c r="O45" s="133">
        <f>O23+O26</f>
        <v>715.86682872480014</v>
      </c>
      <c r="P45" s="133">
        <f t="shared" si="53"/>
        <v>773.97919083576016</v>
      </c>
      <c r="Q45" s="133">
        <f t="shared" si="53"/>
        <v>849.50453449083636</v>
      </c>
      <c r="R45" s="121"/>
      <c r="S45" s="121"/>
      <c r="T45" s="121"/>
      <c r="U45" s="121"/>
      <c r="V45" s="121"/>
      <c r="AC45" s="76"/>
    </row>
    <row r="46" spans="1:31" outlineLevel="2" collapsed="1" x14ac:dyDescent="0.3">
      <c r="A46" s="129" t="s">
        <v>87</v>
      </c>
      <c r="C46" s="130">
        <f t="shared" ref="C46:L46" si="54">C45/B45-1</f>
        <v>0.47847790758286579</v>
      </c>
      <c r="D46" s="130">
        <f t="shared" si="54"/>
        <v>0.10422335412795314</v>
      </c>
      <c r="E46" s="130">
        <f t="shared" si="54"/>
        <v>9.1722855586649832E-2</v>
      </c>
      <c r="F46" s="130">
        <f t="shared" si="54"/>
        <v>-9.5870049168539029E-2</v>
      </c>
      <c r="G46" s="130">
        <f t="shared" si="54"/>
        <v>-6.4303383186817387E-2</v>
      </c>
      <c r="H46" s="130">
        <f t="shared" si="54"/>
        <v>-5.8977602258076245E-2</v>
      </c>
      <c r="I46" s="130">
        <f t="shared" si="54"/>
        <v>4.9232404958249099E-2</v>
      </c>
      <c r="J46" s="130">
        <f t="shared" si="54"/>
        <v>0.12899824108286673</v>
      </c>
      <c r="K46" s="130">
        <f t="shared" si="54"/>
        <v>0.47813221735339084</v>
      </c>
      <c r="L46" s="130">
        <f t="shared" si="54"/>
        <v>0.23310829990743587</v>
      </c>
      <c r="M46" s="130">
        <f>M45/L45-1</f>
        <v>0.10479988309782762</v>
      </c>
      <c r="N46" s="130">
        <f t="shared" ref="N46:Q46" si="55">N45/M45-1</f>
        <v>0.29203326664554585</v>
      </c>
      <c r="O46" s="130">
        <f t="shared" si="55"/>
        <v>3.8866028202240166E-3</v>
      </c>
      <c r="P46" s="130">
        <f t="shared" si="55"/>
        <v>8.1177615415534365E-2</v>
      </c>
      <c r="Q46" s="130">
        <f t="shared" si="55"/>
        <v>9.758058685469595E-2</v>
      </c>
      <c r="R46" s="124"/>
      <c r="S46" s="124"/>
      <c r="T46" s="124"/>
      <c r="U46" s="124"/>
      <c r="V46" s="124"/>
      <c r="W46" s="125"/>
      <c r="X46" s="126"/>
      <c r="Y46" s="126"/>
      <c r="Z46" s="124"/>
      <c r="AA46" s="124"/>
      <c r="AB46" s="124"/>
      <c r="AC46" s="124"/>
      <c r="AD46" s="124"/>
      <c r="AE46" s="127"/>
    </row>
    <row r="47" spans="1:31" outlineLevel="2" x14ac:dyDescent="0.3">
      <c r="A47" s="135"/>
      <c r="B47" s="120"/>
      <c r="C47" s="120"/>
      <c r="D47" s="120"/>
      <c r="E47" s="120"/>
      <c r="F47" s="120"/>
      <c r="G47" s="120"/>
      <c r="H47" s="194"/>
      <c r="I47" s="120"/>
      <c r="J47" s="120"/>
      <c r="K47" s="120"/>
      <c r="L47" s="120"/>
      <c r="M47" s="120"/>
      <c r="N47" s="120"/>
      <c r="O47" s="121"/>
      <c r="P47" s="121"/>
      <c r="Q47" s="121"/>
      <c r="R47" s="121"/>
      <c r="S47" s="121"/>
      <c r="T47" s="121"/>
      <c r="U47" s="121"/>
      <c r="V47" s="121"/>
      <c r="AC47" s="76"/>
    </row>
    <row r="48" spans="1:31" outlineLevel="2" x14ac:dyDescent="0.3">
      <c r="A48" s="131" t="s">
        <v>88</v>
      </c>
      <c r="B48" s="136">
        <f>B51-B45</f>
        <v>70.542000000000002</v>
      </c>
      <c r="C48" s="136">
        <f>C51-C45</f>
        <v>0</v>
      </c>
      <c r="D48" s="136">
        <f t="shared" ref="D48:L48" si="56">D51-D45</f>
        <v>-0.1069999999999709</v>
      </c>
      <c r="E48" s="136">
        <f t="shared" si="56"/>
        <v>-4.6809999999999832</v>
      </c>
      <c r="F48" s="136">
        <f>F51-F45</f>
        <v>1.6760000000000446</v>
      </c>
      <c r="G48" s="136">
        <f t="shared" si="56"/>
        <v>-1.4669999999999845</v>
      </c>
      <c r="H48" s="136">
        <f t="shared" si="56"/>
        <v>-8.0000000000012506E-2</v>
      </c>
      <c r="I48" s="136">
        <f t="shared" si="56"/>
        <v>-0.28900000000001569</v>
      </c>
      <c r="J48" s="136">
        <f>J51-J45</f>
        <v>36.358000000000004</v>
      </c>
      <c r="K48" s="136">
        <f t="shared" si="56"/>
        <v>2.7900000000000205</v>
      </c>
      <c r="L48" s="136">
        <f t="shared" si="56"/>
        <v>0</v>
      </c>
      <c r="M48" s="137"/>
      <c r="N48" s="137"/>
      <c r="O48" s="137"/>
      <c r="P48" s="137"/>
      <c r="Q48" s="137"/>
      <c r="R48" s="121"/>
      <c r="S48" s="121"/>
      <c r="T48" s="121"/>
      <c r="U48" s="121"/>
      <c r="V48" s="121"/>
      <c r="AC48" s="76"/>
    </row>
    <row r="49" spans="1:40" outlineLevel="2" collapsed="1" x14ac:dyDescent="0.3">
      <c r="A49" s="129" t="s">
        <v>89</v>
      </c>
      <c r="B49" s="207">
        <f>B48/B$45</f>
        <v>0.43260049673443107</v>
      </c>
      <c r="C49" s="207">
        <f t="shared" ref="C49:L49" si="57">C48/C$45</f>
        <v>0</v>
      </c>
      <c r="D49" s="207">
        <f t="shared" si="57"/>
        <v>-4.0193077024198824E-4</v>
      </c>
      <c r="E49" s="207">
        <f t="shared" si="57"/>
        <v>-1.610622331256252E-2</v>
      </c>
      <c r="F49" s="207">
        <f t="shared" si="57"/>
        <v>6.3782014689654247E-3</v>
      </c>
      <c r="G49" s="207">
        <f t="shared" si="57"/>
        <v>-5.9664948977723644E-3</v>
      </c>
      <c r="H49" s="207">
        <f t="shared" si="57"/>
        <v>-3.4576353232030021E-4</v>
      </c>
      <c r="I49" s="207">
        <f t="shared" si="57"/>
        <v>-1.1904614788909994E-3</v>
      </c>
      <c r="J49" s="207">
        <f t="shared" si="57"/>
        <v>0.13265518335954232</v>
      </c>
      <c r="K49" s="207">
        <f t="shared" si="57"/>
        <v>6.8867633446467649E-3</v>
      </c>
      <c r="L49" s="207">
        <f t="shared" si="57"/>
        <v>0</v>
      </c>
      <c r="M49" s="137"/>
      <c r="N49" s="137"/>
      <c r="O49" s="137"/>
      <c r="P49" s="137"/>
      <c r="Q49" s="137"/>
      <c r="R49" s="124"/>
      <c r="S49" s="124"/>
      <c r="T49" s="124"/>
      <c r="U49" s="124"/>
      <c r="V49" s="124"/>
      <c r="W49" s="125"/>
      <c r="X49" s="126"/>
      <c r="Y49" s="126"/>
      <c r="Z49" s="124"/>
      <c r="AA49" s="124"/>
      <c r="AB49" s="124"/>
      <c r="AC49" s="124"/>
      <c r="AD49" s="124"/>
      <c r="AE49" s="127"/>
    </row>
    <row r="50" spans="1:40" outlineLevel="2" x14ac:dyDescent="0.3">
      <c r="A50" s="131"/>
      <c r="B50" s="132"/>
      <c r="C50" s="132"/>
      <c r="D50" s="132"/>
      <c r="E50" s="132"/>
      <c r="F50" s="132"/>
      <c r="G50" s="132"/>
      <c r="H50" s="132"/>
      <c r="I50" s="132"/>
      <c r="J50" s="132"/>
      <c r="K50" s="132"/>
      <c r="L50" s="132"/>
      <c r="M50" s="137"/>
      <c r="N50" s="137"/>
      <c r="O50" s="137"/>
      <c r="P50" s="137"/>
      <c r="Q50" s="137"/>
      <c r="R50" s="121"/>
      <c r="S50" s="121"/>
      <c r="T50" s="121"/>
      <c r="U50" s="121"/>
      <c r="V50" s="121"/>
      <c r="AC50" s="76"/>
    </row>
    <row r="51" spans="1:40" outlineLevel="2" x14ac:dyDescent="0.3">
      <c r="A51" s="131" t="s">
        <v>90</v>
      </c>
      <c r="B51" s="138">
        <f>'Broker Actual'!E11</f>
        <v>233.607</v>
      </c>
      <c r="C51" s="138">
        <f>'Broker Actual'!F11</f>
        <v>241.08799999999999</v>
      </c>
      <c r="D51" s="138">
        <f>'Broker Actual'!G11</f>
        <v>266.108</v>
      </c>
      <c r="E51" s="138">
        <f>'Broker Actual'!H11</f>
        <v>285.952</v>
      </c>
      <c r="F51" s="138">
        <f>'Broker Actual'!I11</f>
        <v>264.44600000000003</v>
      </c>
      <c r="G51" s="138">
        <f>'Broker Actual'!J11</f>
        <v>244.40600000000001</v>
      </c>
      <c r="H51" s="138">
        <f>'Broker Actual'!K11</f>
        <v>231.292</v>
      </c>
      <c r="I51" s="138">
        <f>'Broker Actual'!L11</f>
        <v>242.47399999999999</v>
      </c>
      <c r="J51" s="138">
        <f>'Broker Actual'!M11</f>
        <v>310.43700000000001</v>
      </c>
      <c r="K51" s="138">
        <f>'Broker Actual'!N11</f>
        <v>407.91500000000002</v>
      </c>
      <c r="L51" s="138">
        <f>'Broker Actual'!O11</f>
        <v>499.56299999999999</v>
      </c>
      <c r="M51" s="137"/>
      <c r="N51" s="137"/>
      <c r="O51" s="137"/>
      <c r="P51" s="137"/>
      <c r="Q51" s="137"/>
      <c r="R51" s="121"/>
      <c r="S51" s="121"/>
      <c r="T51" s="121"/>
      <c r="U51" s="121"/>
      <c r="V51" s="121"/>
      <c r="AC51" s="76"/>
    </row>
    <row r="52" spans="1:40" outlineLevel="2" collapsed="1" x14ac:dyDescent="0.3">
      <c r="A52" s="129" t="s">
        <v>87</v>
      </c>
      <c r="C52" s="130">
        <f t="shared" ref="C52:D52" si="58">C51/B51-1</f>
        <v>3.2023869147756789E-2</v>
      </c>
      <c r="D52" s="130">
        <f t="shared" si="58"/>
        <v>0.10377953278470931</v>
      </c>
      <c r="E52" s="130">
        <f t="shared" ref="E52" si="59">E51/D51-1</f>
        <v>7.457122671997829E-2</v>
      </c>
      <c r="F52" s="130">
        <f t="shared" ref="F52" si="60">F51/E51-1</f>
        <v>-7.5208426589077781E-2</v>
      </c>
      <c r="G52" s="130">
        <f t="shared" ref="G52" si="61">G51/F51-1</f>
        <v>-7.5781066834060717E-2</v>
      </c>
      <c r="H52" s="130">
        <f t="shared" ref="H52" si="62">H51/G51-1</f>
        <v>-5.3656620541230549E-2</v>
      </c>
      <c r="I52" s="130">
        <f t="shared" ref="I52" si="63">I51/H51-1</f>
        <v>4.8345813949466354E-2</v>
      </c>
      <c r="J52" s="130">
        <f t="shared" ref="J52" si="64">J51/I51-1</f>
        <v>0.28028984550920932</v>
      </c>
      <c r="K52" s="130">
        <f t="shared" ref="K52" si="65">K51/J51-1</f>
        <v>0.31400251902962606</v>
      </c>
      <c r="L52" s="130">
        <f t="shared" ref="L52" si="66">L51/K51-1</f>
        <v>0.22467425811749986</v>
      </c>
      <c r="M52" s="137"/>
      <c r="N52" s="137"/>
      <c r="O52" s="137"/>
      <c r="P52" s="137"/>
      <c r="Q52" s="137"/>
      <c r="R52" s="124"/>
      <c r="S52" s="124"/>
      <c r="T52" s="124"/>
      <c r="U52" s="124"/>
      <c r="V52" s="124"/>
      <c r="W52" s="125"/>
      <c r="X52" s="126"/>
      <c r="Y52" s="126"/>
      <c r="Z52" s="124"/>
      <c r="AA52" s="124"/>
      <c r="AB52" s="124"/>
      <c r="AC52" s="124"/>
      <c r="AD52" s="124"/>
      <c r="AE52" s="127"/>
    </row>
    <row r="53" spans="1:40" outlineLevel="2" x14ac:dyDescent="0.3">
      <c r="A53" s="129"/>
      <c r="C53" s="130"/>
      <c r="D53" s="130"/>
      <c r="E53" s="130"/>
      <c r="F53" s="130"/>
      <c r="G53" s="130"/>
      <c r="H53" s="130"/>
      <c r="I53" s="130"/>
      <c r="J53" s="130"/>
      <c r="K53" s="130"/>
      <c r="L53" s="130"/>
      <c r="M53" s="130"/>
      <c r="N53" s="130"/>
      <c r="O53" s="130"/>
      <c r="P53" s="130"/>
      <c r="Q53" s="130"/>
      <c r="R53" s="124"/>
      <c r="S53" s="124"/>
      <c r="T53" s="124"/>
      <c r="U53" s="124"/>
      <c r="V53" s="124"/>
      <c r="W53" s="125"/>
      <c r="X53" s="126"/>
      <c r="Y53" s="126"/>
      <c r="Z53" s="124"/>
      <c r="AA53" s="124"/>
      <c r="AB53" s="124"/>
      <c r="AC53" s="124"/>
      <c r="AD53" s="124"/>
      <c r="AE53" s="127"/>
    </row>
    <row r="54" spans="1:40" outlineLevel="2" x14ac:dyDescent="0.3">
      <c r="A54" s="79" t="str">
        <f>"Reconcile "&amp;A57&amp;" with"&amp;" above"</f>
        <v>Reconcile Revenue (Historical Data: Broker Actual) with above</v>
      </c>
      <c r="B54" s="128">
        <f t="shared" ref="B54:L54" si="67">B57-B51</f>
        <v>0</v>
      </c>
      <c r="C54" s="128">
        <f t="shared" si="67"/>
        <v>0</v>
      </c>
      <c r="D54" s="128">
        <f t="shared" si="67"/>
        <v>0</v>
      </c>
      <c r="E54" s="128">
        <f t="shared" si="67"/>
        <v>0</v>
      </c>
      <c r="F54" s="128">
        <f t="shared" si="67"/>
        <v>0</v>
      </c>
      <c r="G54" s="128">
        <f t="shared" si="67"/>
        <v>0</v>
      </c>
      <c r="H54" s="128">
        <f t="shared" si="67"/>
        <v>0</v>
      </c>
      <c r="I54" s="128">
        <f>I57-I51</f>
        <v>0</v>
      </c>
      <c r="J54" s="128">
        <f t="shared" si="67"/>
        <v>0</v>
      </c>
      <c r="K54" s="128">
        <f t="shared" si="67"/>
        <v>0</v>
      </c>
      <c r="L54" s="128">
        <f t="shared" si="67"/>
        <v>0</v>
      </c>
      <c r="M54" s="139">
        <v>0</v>
      </c>
      <c r="N54" s="139">
        <v>0</v>
      </c>
      <c r="O54" s="139">
        <v>0</v>
      </c>
      <c r="P54" s="139">
        <v>0</v>
      </c>
      <c r="Q54" s="139">
        <v>0</v>
      </c>
      <c r="R54" s="121"/>
      <c r="S54" s="121"/>
      <c r="T54" s="121"/>
      <c r="U54" s="121"/>
      <c r="V54" s="121"/>
      <c r="AC54" s="76"/>
    </row>
    <row r="55" spans="1:40" outlineLevel="2" collapsed="1" x14ac:dyDescent="0.3">
      <c r="A55" s="129" t="s">
        <v>89</v>
      </c>
      <c r="B55" s="207">
        <f>B54/B$45</f>
        <v>0</v>
      </c>
      <c r="C55" s="207">
        <f t="shared" ref="C55" si="68">C54/C$45</f>
        <v>0</v>
      </c>
      <c r="D55" s="207">
        <f t="shared" ref="D55" si="69">D54/D$45</f>
        <v>0</v>
      </c>
      <c r="E55" s="207">
        <f t="shared" ref="E55" si="70">E54/E$45</f>
        <v>0</v>
      </c>
      <c r="F55" s="207">
        <f t="shared" ref="F55" si="71">F54/F$45</f>
        <v>0</v>
      </c>
      <c r="G55" s="207">
        <f t="shared" ref="G55" si="72">G54/G$45</f>
        <v>0</v>
      </c>
      <c r="H55" s="207">
        <f t="shared" ref="H55" si="73">H54/H$45</f>
        <v>0</v>
      </c>
      <c r="I55" s="207">
        <f t="shared" ref="I55" si="74">I54/I$45</f>
        <v>0</v>
      </c>
      <c r="J55" s="207">
        <f t="shared" ref="J55" si="75">J54/J$45</f>
        <v>0</v>
      </c>
      <c r="K55" s="207">
        <f t="shared" ref="K55" si="76">K54/K$45</f>
        <v>0</v>
      </c>
      <c r="L55" s="207">
        <f t="shared" ref="L55" si="77">L54/L$45</f>
        <v>0</v>
      </c>
      <c r="M55" s="137"/>
      <c r="N55" s="137"/>
      <c r="O55" s="137"/>
      <c r="P55" s="137"/>
      <c r="Q55" s="137"/>
      <c r="R55" s="124"/>
      <c r="S55" s="124"/>
      <c r="T55" s="124"/>
      <c r="U55" s="124"/>
      <c r="V55" s="124"/>
      <c r="W55" s="125"/>
      <c r="X55" s="126"/>
      <c r="Y55" s="126"/>
      <c r="Z55" s="124"/>
      <c r="AA55" s="124"/>
      <c r="AB55" s="124"/>
      <c r="AC55" s="124"/>
      <c r="AD55" s="124"/>
      <c r="AE55" s="127"/>
    </row>
    <row r="56" spans="1:40" outlineLevel="1" x14ac:dyDescent="0.3">
      <c r="L56" s="128"/>
      <c r="M56" s="128"/>
      <c r="N56" s="128"/>
      <c r="O56" s="128"/>
      <c r="P56" s="128"/>
      <c r="Q56" s="128"/>
      <c r="R56" s="121"/>
      <c r="S56" s="121"/>
      <c r="T56" s="121"/>
      <c r="U56" s="121"/>
      <c r="V56" s="121"/>
      <c r="AC56" s="76"/>
    </row>
    <row r="57" spans="1:40" outlineLevel="1" x14ac:dyDescent="0.3">
      <c r="A57" s="118" t="str">
        <f>"Revenue (Historical Data: "&amp;B2&amp;")"</f>
        <v>Revenue (Historical Data: Broker Actual)</v>
      </c>
      <c r="B57" s="140">
        <f>CHOOSE(IF($B$1=2,2,1),'GAAP-IFRS'!E11,IF('Broker Actual'!E11="-",'GAAP-IFRS'!E11,'Broker Actual'!E11))</f>
        <v>233.607</v>
      </c>
      <c r="C57" s="140">
        <f>CHOOSE(IF($B$1=2,2,1),'GAAP-IFRS'!F11,IF('Broker Actual'!F11="-",'GAAP-IFRS'!F11,'Broker Actual'!F11))</f>
        <v>241.08799999999999</v>
      </c>
      <c r="D57" s="140">
        <f>CHOOSE(IF($B$1=2,2,1),'GAAP-IFRS'!G11,IF('Broker Actual'!G11="-",'GAAP-IFRS'!G11,'Broker Actual'!G11))</f>
        <v>266.108</v>
      </c>
      <c r="E57" s="140">
        <f>CHOOSE(IF($B$1=2,2,1),'GAAP-IFRS'!H11,IF('Broker Actual'!H11="-",'GAAP-IFRS'!H11,'Broker Actual'!H11))</f>
        <v>285.952</v>
      </c>
      <c r="F57" s="140">
        <f>CHOOSE(IF($B$1=2,2,1),'GAAP-IFRS'!I11,IF('Broker Actual'!I11="-",'GAAP-IFRS'!I11,'Broker Actual'!I11))</f>
        <v>264.44600000000003</v>
      </c>
      <c r="G57" s="140">
        <f>CHOOSE(IF($B$1=2,2,1),'GAAP-IFRS'!J11,IF('Broker Actual'!J11="-",'GAAP-IFRS'!J11,'Broker Actual'!J11))</f>
        <v>244.40600000000001</v>
      </c>
      <c r="H57" s="140">
        <f>CHOOSE(IF($B$1=2,2,1),'GAAP-IFRS'!K11,IF('Broker Actual'!K11="-",'GAAP-IFRS'!K11,'Broker Actual'!K11))</f>
        <v>231.292</v>
      </c>
      <c r="I57" s="140">
        <f>CHOOSE(IF($B$1=2,2,1),'GAAP-IFRS'!L11,IF('Broker Actual'!L11="-",'GAAP-IFRS'!L11,'Broker Actual'!L11))</f>
        <v>242.47399999999999</v>
      </c>
      <c r="J57" s="140">
        <f>CHOOSE(IF($B$1=2,2,1),'GAAP-IFRS'!M11,IF('Broker Actual'!M11="-",'GAAP-IFRS'!M11,'Broker Actual'!M11))</f>
        <v>310.43700000000001</v>
      </c>
      <c r="K57" s="140">
        <f>CHOOSE(IF($B$1=2,2,1),'GAAP-IFRS'!N11,IF('Broker Actual'!N11="-",'GAAP-IFRS'!N11,'Broker Actual'!N11))</f>
        <v>407.91500000000002</v>
      </c>
      <c r="L57" s="140">
        <f>CHOOSE(IF($B$1=2,2,1),'GAAP-IFRS'!O11,IF('Broker Actual'!O11="-",'GAAP-IFRS'!O11,'Broker Actual'!O11))</f>
        <v>499.56299999999999</v>
      </c>
      <c r="M57" s="141">
        <f>M45+M54</f>
        <v>551.91714400000001</v>
      </c>
      <c r="N57" s="141">
        <f t="shared" ref="N57:Q57" si="78">N45+N54</f>
        <v>713.09531048000008</v>
      </c>
      <c r="O57" s="141">
        <f t="shared" si="78"/>
        <v>715.86682872480014</v>
      </c>
      <c r="P57" s="141">
        <f t="shared" si="78"/>
        <v>773.97919083576016</v>
      </c>
      <c r="Q57" s="141">
        <f t="shared" si="78"/>
        <v>849.50453449083636</v>
      </c>
      <c r="R57" s="124"/>
      <c r="S57" s="124"/>
      <c r="T57" s="124"/>
      <c r="U57" s="124"/>
      <c r="V57" s="124"/>
      <c r="W57" s="125"/>
      <c r="X57" s="126" t="s">
        <v>91</v>
      </c>
      <c r="Y57" s="126" t="s">
        <v>92</v>
      </c>
      <c r="Z57" s="124" cm="1">
        <f t="array" ref="Z57">_xll.FDSC("--",$A$1,""&amp;$X57&amp;"("&amp;$Y57&amp;","&amp;D$2&amp;",ANNUAL_ROLL,+1,0,,,'CURRENCY="&amp;$E$1&amp;"')")</f>
        <v>508.976</v>
      </c>
      <c r="AA57" s="124" cm="1">
        <f t="array" ref="AA57">_xll.FDSC("--",$A$1,""&amp;$X57&amp;"("&amp;$Y57&amp;","&amp;D$2&amp;",ANNUAL_ROLL,+2,0,,,'CURRENCY="&amp;$E$1&amp;"')")</f>
        <v>579.02200000000005</v>
      </c>
      <c r="AB57" s="124" t="str" cm="1">
        <f t="array" ref="AB57">_xll.FDSC("--",$A$1,""&amp;$X57&amp;"("&amp;$Y57&amp;","&amp;D$2&amp;",ANNUAL_ROLL,+3,0,,,'CURRENCY="&amp;$E$1&amp;"')")</f>
        <v>--</v>
      </c>
      <c r="AC57" s="124"/>
      <c r="AD57" s="124"/>
      <c r="AE57" s="127"/>
    </row>
    <row r="58" spans="1:40" outlineLevel="1" x14ac:dyDescent="0.3">
      <c r="A58" s="129" t="s">
        <v>87</v>
      </c>
      <c r="C58" s="130">
        <f>C57/B57-1</f>
        <v>3.2023869147756789E-2</v>
      </c>
      <c r="D58" s="130">
        <f t="shared" ref="D58:L58" si="79">D57/C57-1</f>
        <v>0.10377953278470931</v>
      </c>
      <c r="E58" s="130">
        <f t="shared" si="79"/>
        <v>7.457122671997829E-2</v>
      </c>
      <c r="F58" s="130">
        <f t="shared" si="79"/>
        <v>-7.5208426589077781E-2</v>
      </c>
      <c r="G58" s="130">
        <f t="shared" si="79"/>
        <v>-7.5781066834060717E-2</v>
      </c>
      <c r="H58" s="130">
        <f t="shared" si="79"/>
        <v>-5.3656620541230549E-2</v>
      </c>
      <c r="I58" s="130">
        <f t="shared" si="79"/>
        <v>4.8345813949466354E-2</v>
      </c>
      <c r="J58" s="130">
        <f t="shared" si="79"/>
        <v>0.28028984550920932</v>
      </c>
      <c r="K58" s="130">
        <f t="shared" si="79"/>
        <v>0.31400251902962606</v>
      </c>
      <c r="L58" s="130">
        <f t="shared" si="79"/>
        <v>0.22467425811749986</v>
      </c>
      <c r="M58" s="142">
        <f>M57/L57-1</f>
        <v>0.10479988309782762</v>
      </c>
      <c r="N58" s="142">
        <f>N57/M57-1</f>
        <v>0.29203326664554585</v>
      </c>
      <c r="O58" s="142">
        <f>O57/N57-1</f>
        <v>3.8866028202240166E-3</v>
      </c>
      <c r="P58" s="142">
        <f>P57/O57-1</f>
        <v>8.1177615415534365E-2</v>
      </c>
      <c r="Q58" s="142">
        <f>Q57/P57-1</f>
        <v>9.758058685469595E-2</v>
      </c>
      <c r="R58" s="124"/>
      <c r="S58" s="124"/>
      <c r="T58" s="124"/>
      <c r="U58" s="124"/>
      <c r="V58" s="124"/>
      <c r="W58" s="125"/>
      <c r="X58" s="126"/>
      <c r="Y58" s="126"/>
      <c r="Z58" s="124"/>
      <c r="AA58" s="124"/>
      <c r="AB58" s="124"/>
      <c r="AC58" s="124"/>
      <c r="AD58" s="124"/>
      <c r="AE58" s="127"/>
    </row>
    <row r="59" spans="1:40" outlineLevel="1" x14ac:dyDescent="0.3">
      <c r="A59" s="129"/>
      <c r="C59" s="130"/>
      <c r="D59" s="130"/>
      <c r="E59" s="130"/>
      <c r="F59" s="130"/>
      <c r="G59" s="130"/>
      <c r="H59" s="130"/>
      <c r="I59" s="130"/>
      <c r="J59" s="130"/>
      <c r="K59" s="130"/>
      <c r="L59" s="130"/>
      <c r="M59" s="123"/>
      <c r="N59" s="123"/>
      <c r="O59" s="123"/>
      <c r="P59" s="123"/>
      <c r="Q59" s="123"/>
      <c r="R59" s="124"/>
      <c r="S59" s="124"/>
      <c r="T59" s="124"/>
      <c r="U59" s="124"/>
      <c r="V59" s="124"/>
      <c r="W59" s="125"/>
      <c r="X59" s="126"/>
      <c r="Y59" s="126"/>
      <c r="Z59" s="124"/>
      <c r="AA59" s="124"/>
      <c r="AB59" s="124"/>
      <c r="AC59" s="124"/>
      <c r="AD59" s="124"/>
      <c r="AE59" s="127"/>
    </row>
    <row r="60" spans="1:40" outlineLevel="1" x14ac:dyDescent="0.3">
      <c r="A60" s="118" t="s">
        <v>93</v>
      </c>
      <c r="B60" s="124"/>
      <c r="C60" s="124"/>
      <c r="D60" s="124"/>
      <c r="E60" s="124"/>
      <c r="F60" s="154"/>
      <c r="G60" s="124"/>
      <c r="H60" s="124"/>
      <c r="I60" s="124"/>
      <c r="J60" s="124"/>
      <c r="K60" s="124"/>
      <c r="L60" s="124"/>
      <c r="M60" s="141"/>
      <c r="N60" s="141"/>
      <c r="O60" s="141"/>
      <c r="P60" s="141"/>
      <c r="Q60" s="141"/>
      <c r="R60" s="124"/>
      <c r="S60" s="124"/>
      <c r="T60" s="124"/>
      <c r="U60" s="124"/>
      <c r="V60" s="124"/>
      <c r="W60" s="125"/>
      <c r="X60" s="126"/>
      <c r="Y60" s="126"/>
      <c r="Z60" s="124"/>
      <c r="AA60" s="124"/>
      <c r="AB60" s="124"/>
      <c r="AC60" s="124"/>
      <c r="AD60" s="124"/>
      <c r="AE60" s="127"/>
    </row>
    <row r="61" spans="1:40" outlineLevel="2" x14ac:dyDescent="0.3">
      <c r="A61" s="198" t="s">
        <v>94</v>
      </c>
      <c r="B61" s="202">
        <v>66.309997999999993</v>
      </c>
      <c r="C61" s="202">
        <v>65.123001000000002</v>
      </c>
      <c r="D61" s="202">
        <v>79.468001999999998</v>
      </c>
      <c r="E61" s="202">
        <v>87.223999000000006</v>
      </c>
      <c r="F61" s="202">
        <v>124.667</v>
      </c>
      <c r="G61" s="202">
        <v>165.628998</v>
      </c>
      <c r="H61" s="202">
        <v>109.328003</v>
      </c>
      <c r="I61" s="202">
        <v>107.514</v>
      </c>
      <c r="J61" s="202">
        <v>160.03599500000001</v>
      </c>
      <c r="K61" s="202">
        <v>227.52499399999999</v>
      </c>
      <c r="L61" s="202">
        <v>371.46301299999999</v>
      </c>
      <c r="M61" s="211">
        <f>M66*M67</f>
        <v>295.91603712</v>
      </c>
      <c r="N61" s="211">
        <f>N66*N67</f>
        <v>387.07348255488006</v>
      </c>
      <c r="O61" s="211">
        <f>O66*O67</f>
        <v>387.7132734351361</v>
      </c>
      <c r="P61" s="211">
        <f t="shared" ref="P61:Q61" si="80">P23*P64</f>
        <v>397.72494842351051</v>
      </c>
      <c r="Q61" s="211">
        <f t="shared" si="80"/>
        <v>437.49744326586165</v>
      </c>
      <c r="R61" s="124"/>
      <c r="T61" s="124"/>
      <c r="U61" s="124"/>
      <c r="V61" s="124"/>
      <c r="W61" s="125"/>
      <c r="X61" s="126"/>
      <c r="Y61" s="126"/>
      <c r="Z61" s="124"/>
      <c r="AA61" s="124"/>
      <c r="AB61" s="124"/>
      <c r="AC61" s="124"/>
      <c r="AD61" s="124"/>
      <c r="AE61" s="124"/>
      <c r="AF61" s="124"/>
      <c r="AG61" s="124"/>
      <c r="AH61" s="124"/>
      <c r="AI61" s="124"/>
      <c r="AJ61" s="124"/>
      <c r="AK61" s="124"/>
      <c r="AL61" s="124"/>
      <c r="AM61" s="124"/>
      <c r="AN61" s="124"/>
    </row>
    <row r="62" spans="1:40" outlineLevel="2" x14ac:dyDescent="0.3">
      <c r="A62" s="200" t="s">
        <v>95</v>
      </c>
      <c r="B62" s="201">
        <f>B61/B45</f>
        <v>0.40664764357771438</v>
      </c>
      <c r="C62" s="201">
        <f>C61/C45</f>
        <v>0.27012128766259624</v>
      </c>
      <c r="D62" s="201">
        <f t="shared" ref="D62:K62" si="81">D61/D45</f>
        <v>0.29851060984542571</v>
      </c>
      <c r="E62" s="201">
        <f t="shared" si="81"/>
        <v>0.30011732666283597</v>
      </c>
      <c r="F62" s="201">
        <f t="shared" si="81"/>
        <v>0.47443391559158204</v>
      </c>
      <c r="G62" s="201">
        <f t="shared" si="81"/>
        <v>0.67363638138388515</v>
      </c>
      <c r="H62" s="201">
        <f t="shared" si="81"/>
        <v>0.47252045623498085</v>
      </c>
      <c r="I62" s="201">
        <f t="shared" si="81"/>
        <v>0.44287638561065729</v>
      </c>
      <c r="J62" s="201">
        <f t="shared" si="81"/>
        <v>0.58390462238989493</v>
      </c>
      <c r="K62" s="201">
        <f t="shared" si="81"/>
        <v>0.56161677013267508</v>
      </c>
      <c r="L62" s="201">
        <f>L61/L45</f>
        <v>0.7435759113465169</v>
      </c>
      <c r="M62" s="142">
        <f t="shared" ref="M62:Q62" si="82">M61/M45</f>
        <v>0.53616025582274718</v>
      </c>
      <c r="N62" s="142">
        <f t="shared" si="82"/>
        <v>0.54280749973566988</v>
      </c>
      <c r="O62" s="142">
        <f t="shared" si="82"/>
        <v>0.54159971921842498</v>
      </c>
      <c r="P62" s="142">
        <f t="shared" si="82"/>
        <v>0.51387033803071391</v>
      </c>
      <c r="Q62" s="142">
        <f t="shared" si="82"/>
        <v>0.51500307002844015</v>
      </c>
      <c r="R62" s="124"/>
      <c r="T62" s="124"/>
      <c r="U62" s="124"/>
      <c r="V62" s="124"/>
      <c r="W62" s="125"/>
      <c r="X62" s="126"/>
      <c r="Y62" s="126"/>
      <c r="Z62" s="124"/>
      <c r="AA62" s="124"/>
      <c r="AB62" s="124"/>
      <c r="AC62" s="124"/>
      <c r="AD62" s="124"/>
      <c r="AE62" s="124"/>
      <c r="AF62" s="124"/>
      <c r="AG62" s="124"/>
      <c r="AH62" s="124"/>
      <c r="AI62" s="124"/>
      <c r="AJ62" s="124"/>
      <c r="AK62" s="124"/>
      <c r="AL62" s="124"/>
      <c r="AM62" s="124"/>
      <c r="AN62" s="124"/>
    </row>
    <row r="63" spans="1:40" outlineLevel="2" x14ac:dyDescent="0.3">
      <c r="A63" s="313" t="s">
        <v>96</v>
      </c>
      <c r="B63" s="201"/>
      <c r="C63" s="201">
        <f>C61/B61-1</f>
        <v>-1.7900724412629132E-2</v>
      </c>
      <c r="D63" s="201">
        <f t="shared" ref="D63:L63" si="83">D61/C61-1</f>
        <v>0.22027549068262364</v>
      </c>
      <c r="E63" s="201">
        <f t="shared" si="83"/>
        <v>9.7598993365908493E-2</v>
      </c>
      <c r="F63" s="201">
        <f t="shared" si="83"/>
        <v>0.42927406939917989</v>
      </c>
      <c r="G63" s="201">
        <f t="shared" si="83"/>
        <v>0.32857129793770601</v>
      </c>
      <c r="H63" s="201">
        <f t="shared" si="83"/>
        <v>-0.33992233050881582</v>
      </c>
      <c r="I63" s="201">
        <f t="shared" si="83"/>
        <v>-1.659229977885901E-2</v>
      </c>
      <c r="J63" s="201">
        <f t="shared" si="83"/>
        <v>0.48851307736666882</v>
      </c>
      <c r="K63" s="201">
        <f t="shared" si="83"/>
        <v>0.42171137186980956</v>
      </c>
      <c r="L63" s="201">
        <f t="shared" si="83"/>
        <v>0.63262508645533688</v>
      </c>
      <c r="M63" s="142">
        <f>M61/L61-1</f>
        <v>-0.20337684570495851</v>
      </c>
      <c r="N63" s="142">
        <f t="shared" ref="N63" si="84">N61/M61-1</f>
        <v>0.30805172413793125</v>
      </c>
      <c r="O63" s="142">
        <f t="shared" ref="O63" si="85">O61/N61-1</f>
        <v>1.6528925619836432E-3</v>
      </c>
      <c r="P63" s="142">
        <f t="shared" ref="P63" si="86">P61/O61-1</f>
        <v>2.5822368421052566E-2</v>
      </c>
      <c r="Q63" s="142">
        <f t="shared" ref="Q63" si="87">Q61/P61-1</f>
        <v>0.10000000000000031</v>
      </c>
      <c r="R63" s="124"/>
      <c r="T63" s="124"/>
      <c r="U63" s="124"/>
      <c r="V63" s="124"/>
      <c r="W63" s="125"/>
      <c r="X63" s="126"/>
      <c r="Y63" s="126"/>
      <c r="Z63" s="124"/>
      <c r="AA63" s="124"/>
      <c r="AB63" s="124"/>
      <c r="AC63" s="124"/>
      <c r="AD63" s="124"/>
      <c r="AE63" s="124"/>
      <c r="AF63" s="124"/>
      <c r="AG63" s="124"/>
      <c r="AH63" s="124"/>
      <c r="AI63" s="124"/>
      <c r="AJ63" s="124"/>
      <c r="AK63" s="124"/>
      <c r="AL63" s="124"/>
      <c r="AM63" s="124"/>
      <c r="AN63" s="124"/>
    </row>
    <row r="64" spans="1:40" outlineLevel="2" x14ac:dyDescent="0.3">
      <c r="A64" s="200" t="s">
        <v>570</v>
      </c>
      <c r="B64" s="201">
        <f>B61/B23</f>
        <v>0.42074871827411164</v>
      </c>
      <c r="C64" s="201">
        <f t="shared" ref="C64:L64" si="88">C61/C23</f>
        <v>0.27806576003415884</v>
      </c>
      <c r="D64" s="201">
        <f t="shared" si="88"/>
        <v>0.31522412534708449</v>
      </c>
      <c r="E64" s="201">
        <f t="shared" si="88"/>
        <v>0.3087575185840708</v>
      </c>
      <c r="F64" s="201">
        <f t="shared" si="88"/>
        <v>0.51176929392446635</v>
      </c>
      <c r="G64" s="201">
        <f t="shared" si="88"/>
        <v>0.73743988423864648</v>
      </c>
      <c r="H64" s="201">
        <f t="shared" si="88"/>
        <v>0.51231491565135889</v>
      </c>
      <c r="I64" s="201">
        <f t="shared" si="88"/>
        <v>0.49705963938973641</v>
      </c>
      <c r="J64" s="201">
        <f t="shared" si="88"/>
        <v>0.60966093333333338</v>
      </c>
      <c r="K64" s="201">
        <f t="shared" si="88"/>
        <v>0.60303470447919427</v>
      </c>
      <c r="L64" s="201">
        <f t="shared" si="88"/>
        <v>0.8012575776531492</v>
      </c>
      <c r="M64" s="273">
        <v>0.57999999999999996</v>
      </c>
      <c r="N64" s="273">
        <v>0.60499999999999998</v>
      </c>
      <c r="O64" s="273">
        <v>0.6</v>
      </c>
      <c r="P64" s="273">
        <v>0.54</v>
      </c>
      <c r="Q64" s="273">
        <v>0.54</v>
      </c>
      <c r="R64" s="124"/>
      <c r="S64" s="124"/>
      <c r="T64" s="124"/>
      <c r="U64" s="124"/>
      <c r="V64" s="124"/>
      <c r="W64" s="125"/>
      <c r="X64" s="126"/>
      <c r="Y64" s="126"/>
      <c r="Z64" s="124"/>
      <c r="AA64" s="124"/>
      <c r="AB64" s="124"/>
      <c r="AC64" s="197"/>
      <c r="AD64" s="197"/>
      <c r="AE64" s="197"/>
      <c r="AF64" s="197"/>
      <c r="AG64" s="197"/>
      <c r="AH64" s="197"/>
      <c r="AI64" s="197"/>
      <c r="AJ64" s="197"/>
      <c r="AK64" s="197"/>
      <c r="AL64" s="197"/>
      <c r="AM64" s="197"/>
      <c r="AN64" s="197"/>
    </row>
    <row r="65" spans="1:40" outlineLevel="2" x14ac:dyDescent="0.3">
      <c r="A65" s="313" t="s">
        <v>97</v>
      </c>
      <c r="B65" s="201"/>
      <c r="C65" s="201">
        <f>C64/B64-1</f>
        <v>-0.33911679832378461</v>
      </c>
      <c r="D65" s="201">
        <f t="shared" ref="D65" si="89">D64/C64-1</f>
        <v>0.13363157444613449</v>
      </c>
      <c r="E65" s="201">
        <f t="shared" ref="E65" si="90">E64/D64-1</f>
        <v>-2.0514314238776921E-2</v>
      </c>
      <c r="F65" s="201">
        <f t="shared" ref="F65" si="91">F64/E64-1</f>
        <v>0.65751200576875335</v>
      </c>
      <c r="G65" s="201">
        <f t="shared" ref="G65" si="92">G64/F64-1</f>
        <v>0.44096156802148356</v>
      </c>
      <c r="H65" s="201">
        <f t="shared" ref="H65" si="93">H64/G64-1</f>
        <v>-0.30527907887666383</v>
      </c>
      <c r="I65" s="201">
        <f t="shared" ref="I65" si="94">I64/H64-1</f>
        <v>-2.9777146429997847E-2</v>
      </c>
      <c r="J65" s="201">
        <f t="shared" ref="J65" si="95">J64/I64-1</f>
        <v>0.22653477575013503</v>
      </c>
      <c r="K65" s="201">
        <f t="shared" ref="K65" si="96">K64/J64-1</f>
        <v>-1.0868711593360669E-2</v>
      </c>
      <c r="L65" s="201">
        <f t="shared" ref="L65" si="97">L64/K64-1</f>
        <v>0.32870889801466463</v>
      </c>
      <c r="M65" s="142">
        <f>M64/L64-1</f>
        <v>-0.27613789101527586</v>
      </c>
      <c r="N65" s="142">
        <f t="shared" ref="N65" si="98">N64/M64-1</f>
        <v>4.31034482758621E-2</v>
      </c>
      <c r="O65" s="142">
        <f t="shared" ref="O65" si="99">O64/N64-1</f>
        <v>-8.2644628099173278E-3</v>
      </c>
      <c r="P65" s="142">
        <f t="shared" ref="P65" si="100">P64/O64-1</f>
        <v>-9.9999999999999867E-2</v>
      </c>
      <c r="Q65" s="142">
        <f t="shared" ref="Q65" si="101">Q64/P64-1</f>
        <v>0</v>
      </c>
      <c r="R65" s="124"/>
      <c r="S65" s="124"/>
      <c r="T65" s="124"/>
      <c r="U65" s="124"/>
      <c r="V65" s="124"/>
      <c r="W65" s="125"/>
      <c r="X65" s="126"/>
      <c r="Y65" s="126"/>
      <c r="Z65" s="124"/>
      <c r="AA65" s="124"/>
      <c r="AB65" s="124"/>
      <c r="AC65" s="197"/>
      <c r="AD65" s="197"/>
      <c r="AE65" s="197"/>
      <c r="AF65" s="197"/>
      <c r="AG65" s="197"/>
      <c r="AH65" s="197"/>
      <c r="AI65" s="197"/>
      <c r="AJ65" s="197"/>
      <c r="AK65" s="197"/>
      <c r="AL65" s="197"/>
      <c r="AM65" s="197"/>
      <c r="AN65" s="197"/>
    </row>
    <row r="66" spans="1:40" outlineLevel="2" x14ac:dyDescent="0.3">
      <c r="A66" s="313" t="s">
        <v>567</v>
      </c>
      <c r="B66" s="202">
        <f t="shared" ref="B66:O66" si="102">B23*B64</f>
        <v>66.309997999999993</v>
      </c>
      <c r="C66" s="202">
        <f t="shared" si="102"/>
        <v>65.123001000000002</v>
      </c>
      <c r="D66" s="202">
        <f t="shared" si="102"/>
        <v>79.468001999999998</v>
      </c>
      <c r="E66" s="202">
        <f t="shared" si="102"/>
        <v>87.223999000000006</v>
      </c>
      <c r="F66" s="202">
        <f t="shared" si="102"/>
        <v>124.667</v>
      </c>
      <c r="G66" s="202">
        <f t="shared" si="102"/>
        <v>165.628998</v>
      </c>
      <c r="H66" s="202">
        <f t="shared" si="102"/>
        <v>109.328003</v>
      </c>
      <c r="I66" s="202">
        <f t="shared" si="102"/>
        <v>107.514</v>
      </c>
      <c r="J66" s="202">
        <f t="shared" si="102"/>
        <v>160.03599500000001</v>
      </c>
      <c r="K66" s="202">
        <f t="shared" si="102"/>
        <v>227.52499399999999</v>
      </c>
      <c r="L66" s="202">
        <f t="shared" si="102"/>
        <v>371.46301299999999</v>
      </c>
      <c r="M66" s="211">
        <f>M23*M64</f>
        <v>295.91603712</v>
      </c>
      <c r="N66" s="211">
        <f t="shared" si="102"/>
        <v>407.44577111040007</v>
      </c>
      <c r="O66" s="211">
        <f t="shared" si="102"/>
        <v>408.1192351948801</v>
      </c>
      <c r="P66" s="142"/>
      <c r="Q66" s="142"/>
      <c r="R66" s="124"/>
      <c r="S66" s="124"/>
      <c r="T66" s="124"/>
      <c r="U66" s="124"/>
      <c r="V66" s="124"/>
      <c r="W66" s="125"/>
      <c r="X66" s="126"/>
      <c r="Y66" s="126"/>
      <c r="Z66" s="124"/>
      <c r="AA66" s="124"/>
      <c r="AB66" s="124"/>
      <c r="AC66" s="197"/>
      <c r="AD66" s="197"/>
      <c r="AE66" s="197"/>
      <c r="AF66" s="197"/>
      <c r="AG66" s="197"/>
      <c r="AH66" s="197"/>
      <c r="AI66" s="197"/>
      <c r="AJ66" s="197"/>
      <c r="AK66" s="197"/>
      <c r="AL66" s="197"/>
      <c r="AM66" s="197"/>
      <c r="AN66" s="197"/>
    </row>
    <row r="67" spans="1:40" outlineLevel="2" x14ac:dyDescent="0.3">
      <c r="A67" s="313" t="s">
        <v>568</v>
      </c>
      <c r="B67" s="314">
        <v>1</v>
      </c>
      <c r="C67" s="314">
        <v>1</v>
      </c>
      <c r="D67" s="314">
        <v>1</v>
      </c>
      <c r="E67" s="314">
        <v>1</v>
      </c>
      <c r="F67" s="314">
        <v>1</v>
      </c>
      <c r="G67" s="314">
        <v>1</v>
      </c>
      <c r="H67" s="314">
        <v>1</v>
      </c>
      <c r="I67" s="314">
        <v>1</v>
      </c>
      <c r="J67" s="314">
        <v>1</v>
      </c>
      <c r="K67" s="314">
        <v>1</v>
      </c>
      <c r="L67" s="314">
        <v>1</v>
      </c>
      <c r="M67" s="312">
        <v>1</v>
      </c>
      <c r="N67" s="447">
        <v>0.95</v>
      </c>
      <c r="O67" s="312">
        <v>0.95</v>
      </c>
      <c r="P67" s="142"/>
      <c r="Q67" s="142"/>
      <c r="R67" s="124"/>
      <c r="S67" s="124"/>
      <c r="T67" s="124"/>
      <c r="U67" s="124"/>
      <c r="V67" s="124"/>
      <c r="W67" s="125"/>
      <c r="X67" s="126"/>
      <c r="Y67" s="126"/>
      <c r="Z67" s="124"/>
      <c r="AA67" s="124"/>
      <c r="AB67" s="124"/>
      <c r="AC67" s="197"/>
      <c r="AD67" s="197"/>
      <c r="AE67" s="197"/>
      <c r="AF67" s="197"/>
      <c r="AG67" s="197"/>
      <c r="AH67" s="197"/>
      <c r="AI67" s="197"/>
      <c r="AJ67" s="197"/>
      <c r="AK67" s="197"/>
      <c r="AL67" s="197"/>
      <c r="AM67" s="197"/>
      <c r="AN67" s="197"/>
    </row>
    <row r="68" spans="1:40" outlineLevel="2" x14ac:dyDescent="0.3">
      <c r="A68" s="200" t="s">
        <v>98</v>
      </c>
      <c r="B68" s="202">
        <f t="shared" ref="B68:Q68" si="103">(B61/B11)*1000000</f>
        <v>602.81816363636358</v>
      </c>
      <c r="C68" s="202">
        <f t="shared" si="103"/>
        <v>407.01875625000002</v>
      </c>
      <c r="D68" s="202">
        <f t="shared" si="103"/>
        <v>454.10286857142853</v>
      </c>
      <c r="E68" s="202">
        <f t="shared" si="103"/>
        <v>545.14999375000002</v>
      </c>
      <c r="F68" s="202">
        <f t="shared" si="103"/>
        <v>831.11333333333334</v>
      </c>
      <c r="G68" s="202">
        <f t="shared" si="103"/>
        <v>1191.575525179856</v>
      </c>
      <c r="H68" s="202">
        <f t="shared" si="103"/>
        <v>860.85041732283457</v>
      </c>
      <c r="I68" s="202">
        <f t="shared" si="103"/>
        <v>820.71755725190837</v>
      </c>
      <c r="J68" s="202">
        <f t="shared" si="103"/>
        <v>1039.1947727272727</v>
      </c>
      <c r="K68" s="202">
        <f t="shared" si="103"/>
        <v>1259.1311234089651</v>
      </c>
      <c r="L68" s="202">
        <f t="shared" si="103"/>
        <v>1765.508616920152</v>
      </c>
      <c r="M68" s="211">
        <f t="shared" si="103"/>
        <v>1326.8349465528374</v>
      </c>
      <c r="N68" s="211">
        <f t="shared" si="103"/>
        <v>1509.1902082477382</v>
      </c>
      <c r="O68" s="211">
        <f t="shared" si="103"/>
        <v>1439.6997500167327</v>
      </c>
      <c r="P68" s="211">
        <f t="shared" si="103"/>
        <v>1406.5487689308211</v>
      </c>
      <c r="Q68" s="211">
        <f t="shared" si="103"/>
        <v>1473.5272817370505</v>
      </c>
      <c r="R68" s="124"/>
      <c r="S68" s="124"/>
      <c r="T68" s="124"/>
      <c r="U68" s="124"/>
      <c r="V68" s="124"/>
      <c r="W68" s="125"/>
      <c r="X68" s="126"/>
      <c r="Y68" s="126"/>
      <c r="Z68" s="124"/>
      <c r="AA68" s="124"/>
      <c r="AB68" s="124"/>
      <c r="AC68" s="197"/>
      <c r="AD68" s="197"/>
      <c r="AE68" s="197"/>
      <c r="AF68" s="197"/>
      <c r="AG68" s="197"/>
      <c r="AH68" s="197"/>
      <c r="AI68" s="197"/>
      <c r="AJ68" s="197"/>
      <c r="AK68" s="197"/>
      <c r="AL68" s="197"/>
      <c r="AM68" s="197"/>
      <c r="AN68" s="197"/>
    </row>
    <row r="69" spans="1:40" outlineLevel="2" x14ac:dyDescent="0.3">
      <c r="A69" s="313" t="s">
        <v>97</v>
      </c>
      <c r="B69" s="201"/>
      <c r="C69" s="201">
        <f>C68/B68-1</f>
        <v>-0.32480674803368259</v>
      </c>
      <c r="D69" s="201">
        <f t="shared" ref="D69" si="104">D68/C68-1</f>
        <v>0.11568044862411297</v>
      </c>
      <c r="E69" s="201">
        <f t="shared" ref="E69" si="105">E68/D68-1</f>
        <v>0.20049889899396245</v>
      </c>
      <c r="F69" s="201">
        <f t="shared" ref="F69" si="106">F68/E68-1</f>
        <v>0.52455900735912531</v>
      </c>
      <c r="G69" s="201">
        <f t="shared" ref="G69" si="107">G68/F68-1</f>
        <v>0.43371003374572581</v>
      </c>
      <c r="H69" s="201">
        <f t="shared" ref="H69" si="108">H68/G68-1</f>
        <v>-0.27755278693484564</v>
      </c>
      <c r="I69" s="201">
        <f t="shared" ref="I69" si="109">I68/H68-1</f>
        <v>-4.6620015816145721E-2</v>
      </c>
      <c r="J69" s="201">
        <f t="shared" ref="J69" si="110">J68/I68-1</f>
        <v>0.26620268269502323</v>
      </c>
      <c r="K69" s="201">
        <f t="shared" ref="K69" si="111">K68/J68-1</f>
        <v>0.2116411248918133</v>
      </c>
      <c r="L69" s="201">
        <f t="shared" ref="L69" si="112">L68/K68-1</f>
        <v>0.40216422586729728</v>
      </c>
      <c r="M69" s="142">
        <f t="shared" ref="M69" si="113">M68/L68-1</f>
        <v>-0.2484687223631683</v>
      </c>
      <c r="N69" s="142">
        <f t="shared" ref="N69" si="114">N68/M68-1</f>
        <v>0.13743628185907064</v>
      </c>
      <c r="O69" s="142">
        <f t="shared" ref="O69" si="115">O68/N68-1</f>
        <v>-4.6044864226682303E-2</v>
      </c>
      <c r="P69" s="142">
        <f t="shared" ref="P69" si="116">P68/O68-1</f>
        <v>-2.3026315789473673E-2</v>
      </c>
      <c r="Q69" s="142">
        <f t="shared" ref="Q69" si="117">Q68/P68-1</f>
        <v>4.761904761904745E-2</v>
      </c>
      <c r="R69" s="124"/>
      <c r="S69" s="124"/>
      <c r="T69" s="124"/>
      <c r="U69" s="124"/>
      <c r="V69" s="124"/>
      <c r="W69" s="125"/>
      <c r="X69" s="126"/>
      <c r="Y69" s="126"/>
      <c r="Z69" s="124"/>
      <c r="AA69" s="124"/>
      <c r="AB69" s="124"/>
      <c r="AC69" s="197"/>
      <c r="AD69" s="197"/>
      <c r="AE69" s="197"/>
      <c r="AF69" s="197"/>
      <c r="AG69" s="197"/>
      <c r="AH69" s="197"/>
      <c r="AI69" s="197"/>
      <c r="AJ69" s="197"/>
      <c r="AK69" s="197"/>
      <c r="AL69" s="197"/>
      <c r="AM69" s="197"/>
      <c r="AN69" s="197"/>
    </row>
    <row r="70" spans="1:40" outlineLevel="2" x14ac:dyDescent="0.3">
      <c r="A70" s="200"/>
      <c r="B70" s="201"/>
      <c r="C70" s="201"/>
      <c r="D70" s="201"/>
      <c r="E70" s="201"/>
      <c r="F70" s="201"/>
      <c r="G70" s="201"/>
      <c r="H70" s="201"/>
      <c r="I70" s="201"/>
      <c r="J70" s="201"/>
      <c r="K70" s="201"/>
      <c r="L70" s="201"/>
      <c r="M70" s="54"/>
      <c r="O70" s="54"/>
      <c r="P70" s="54"/>
      <c r="Q70" s="54"/>
      <c r="R70" s="124"/>
      <c r="S70" s="124"/>
      <c r="T70" s="124"/>
      <c r="U70" s="124"/>
      <c r="V70" s="124"/>
      <c r="W70" s="125"/>
      <c r="X70" s="126"/>
      <c r="Y70" s="126"/>
      <c r="Z70" s="124"/>
      <c r="AA70" s="124"/>
      <c r="AB70" s="124"/>
      <c r="AC70" s="197"/>
      <c r="AD70" s="197"/>
      <c r="AE70" s="197"/>
      <c r="AF70" s="197"/>
      <c r="AG70" s="197"/>
      <c r="AH70" s="197"/>
      <c r="AI70" s="197"/>
      <c r="AJ70" s="197"/>
      <c r="AK70" s="197"/>
      <c r="AL70" s="197"/>
      <c r="AM70" s="197"/>
      <c r="AN70" s="197"/>
    </row>
    <row r="71" spans="1:40" ht="15.75" customHeight="1" outlineLevel="2" x14ac:dyDescent="0.3">
      <c r="A71" s="198" t="s">
        <v>99</v>
      </c>
      <c r="B71" s="202">
        <v>25.93</v>
      </c>
      <c r="C71" s="202">
        <v>31.618998999999999</v>
      </c>
      <c r="D71" s="202">
        <v>37.951999999999998</v>
      </c>
      <c r="E71" s="202">
        <v>41.984000999999999</v>
      </c>
      <c r="F71" s="202">
        <v>42.641998000000001</v>
      </c>
      <c r="G71" s="202">
        <v>39.662998000000002</v>
      </c>
      <c r="H71" s="202">
        <v>38.943001000000002</v>
      </c>
      <c r="I71" s="202">
        <v>42.497002000000002</v>
      </c>
      <c r="J71" s="202">
        <v>53.859000999999999</v>
      </c>
      <c r="K71" s="202">
        <v>93.732001999999994</v>
      </c>
      <c r="L71" s="202">
        <v>104.976997</v>
      </c>
      <c r="M71" s="211">
        <f>M23*M74</f>
        <v>108.67261363200001</v>
      </c>
      <c r="N71" s="211">
        <f>N23*N74</f>
        <v>142.77438590976001</v>
      </c>
      <c r="O71" s="211">
        <f>O23*O74</f>
        <v>144.20212976885765</v>
      </c>
      <c r="P71" s="211">
        <f>P23*P74</f>
        <v>147.30553645315203</v>
      </c>
      <c r="Q71" s="211">
        <f>Q23*Q74</f>
        <v>162.0360900984673</v>
      </c>
      <c r="R71" s="124"/>
      <c r="T71" s="124"/>
      <c r="U71" s="124"/>
      <c r="V71" s="124"/>
      <c r="W71" s="125"/>
      <c r="X71" s="126"/>
      <c r="Y71" s="126"/>
      <c r="Z71" s="124"/>
      <c r="AA71" s="124"/>
      <c r="AB71" s="124"/>
      <c r="AC71" s="124"/>
      <c r="AD71" s="124"/>
      <c r="AE71" s="124"/>
      <c r="AF71" s="124"/>
      <c r="AG71" s="124"/>
      <c r="AH71" s="124"/>
      <c r="AI71" s="124"/>
      <c r="AJ71" s="124"/>
      <c r="AK71" s="124"/>
      <c r="AL71" s="124"/>
      <c r="AM71" s="124"/>
      <c r="AN71" s="124"/>
    </row>
    <row r="72" spans="1:40" ht="15.75" customHeight="1" outlineLevel="2" x14ac:dyDescent="0.3">
      <c r="A72" s="200" t="str">
        <f>A71&amp;" as a % of Revenue"</f>
        <v>Policy Acquisition and Underwriting Expenses as a % of Revenue</v>
      </c>
      <c r="B72" s="201">
        <f t="shared" ref="B72:Q72" si="118">B71/B45</f>
        <v>0.15901634317603411</v>
      </c>
      <c r="C72" s="201">
        <f t="shared" si="118"/>
        <v>0.13115127671223786</v>
      </c>
      <c r="D72" s="201">
        <f t="shared" si="118"/>
        <v>0.14256146347876716</v>
      </c>
      <c r="E72" s="201">
        <f t="shared" si="118"/>
        <v>0.14445710225610994</v>
      </c>
      <c r="F72" s="201">
        <f t="shared" si="118"/>
        <v>0.16227879133843287</v>
      </c>
      <c r="G72" s="201">
        <f t="shared" si="118"/>
        <v>0.16131497968463396</v>
      </c>
      <c r="H72" s="201">
        <f t="shared" si="118"/>
        <v>0.168313369811386</v>
      </c>
      <c r="I72" s="201">
        <f t="shared" si="118"/>
        <v>0.1750555150496575</v>
      </c>
      <c r="J72" s="201">
        <f t="shared" si="118"/>
        <v>0.19650903936456277</v>
      </c>
      <c r="K72" s="201">
        <f t="shared" si="118"/>
        <v>0.23136563282937364</v>
      </c>
      <c r="L72" s="201">
        <f t="shared" si="118"/>
        <v>0.21013765430986683</v>
      </c>
      <c r="M72" s="142">
        <f t="shared" si="118"/>
        <v>0.19690023187973305</v>
      </c>
      <c r="N72" s="142">
        <f t="shared" si="118"/>
        <v>0.2002178163444315</v>
      </c>
      <c r="O72" s="142">
        <f t="shared" si="118"/>
        <v>0.20143708855141423</v>
      </c>
      <c r="P72" s="142">
        <f t="shared" si="118"/>
        <v>0.19032234741878293</v>
      </c>
      <c r="Q72" s="142">
        <f t="shared" si="118"/>
        <v>0.1907418777883112</v>
      </c>
      <c r="R72" s="124"/>
      <c r="T72" s="124"/>
      <c r="U72" s="124"/>
      <c r="V72" s="124"/>
      <c r="W72" s="125"/>
      <c r="X72" s="126"/>
      <c r="Y72" s="126"/>
      <c r="Z72" s="124"/>
      <c r="AA72" s="124"/>
      <c r="AB72" s="124"/>
      <c r="AC72" s="124"/>
      <c r="AD72" s="124"/>
      <c r="AE72" s="124"/>
      <c r="AF72" s="124"/>
      <c r="AG72" s="124"/>
      <c r="AH72" s="124"/>
      <c r="AI72" s="124"/>
      <c r="AJ72" s="124"/>
      <c r="AK72" s="124"/>
      <c r="AL72" s="124"/>
      <c r="AM72" s="124"/>
      <c r="AN72" s="124"/>
    </row>
    <row r="73" spans="1:40" ht="15.75" customHeight="1" outlineLevel="2" x14ac:dyDescent="0.3">
      <c r="A73" s="200" t="s">
        <v>100</v>
      </c>
      <c r="B73" s="201"/>
      <c r="C73" s="201">
        <f>C71/B71-1</f>
        <v>0.21939834168916317</v>
      </c>
      <c r="D73" s="201">
        <f t="shared" ref="D73:L73" si="119">D71/C71-1</f>
        <v>0.20029100225468865</v>
      </c>
      <c r="E73" s="201">
        <f t="shared" si="119"/>
        <v>0.10623948672006756</v>
      </c>
      <c r="F73" s="201">
        <f t="shared" si="119"/>
        <v>1.5672565366030788E-2</v>
      </c>
      <c r="G73" s="201">
        <f t="shared" si="119"/>
        <v>-6.9860703994217177E-2</v>
      </c>
      <c r="H73" s="201">
        <f t="shared" si="119"/>
        <v>-1.8152863785032114E-2</v>
      </c>
      <c r="I73" s="201">
        <f t="shared" si="119"/>
        <v>9.126161078341144E-2</v>
      </c>
      <c r="J73" s="201">
        <f t="shared" si="119"/>
        <v>0.26736001283102273</v>
      </c>
      <c r="K73" s="201">
        <f t="shared" si="119"/>
        <v>0.74032195658437838</v>
      </c>
      <c r="L73" s="201">
        <f t="shared" si="119"/>
        <v>0.11996964494581053</v>
      </c>
      <c r="M73" s="142">
        <f>M71/L71-1</f>
        <v>3.5204061247817942E-2</v>
      </c>
      <c r="N73" s="142">
        <f t="shared" ref="N73" si="120">N71/M71-1</f>
        <v>0.31380281690140843</v>
      </c>
      <c r="O73" s="142">
        <f t="shared" ref="O73" si="121">O71/N71-1</f>
        <v>1.0000000000000231E-2</v>
      </c>
      <c r="P73" s="142">
        <f t="shared" ref="P73" si="122">P71/O71-1</f>
        <v>2.152122641509413E-2</v>
      </c>
      <c r="Q73" s="142">
        <f t="shared" ref="Q73" si="123">Q71/P71-1</f>
        <v>0.10000000000000053</v>
      </c>
      <c r="R73" s="124"/>
      <c r="T73" s="124"/>
      <c r="U73" s="124"/>
      <c r="V73" s="124"/>
      <c r="W73" s="125"/>
      <c r="X73" s="126"/>
      <c r="Y73" s="126"/>
      <c r="Z73" s="124"/>
      <c r="AA73" s="124"/>
      <c r="AB73" s="124"/>
      <c r="AC73" s="124"/>
      <c r="AD73" s="124"/>
      <c r="AE73" s="124"/>
      <c r="AF73" s="124"/>
      <c r="AG73" s="124"/>
      <c r="AH73" s="124"/>
      <c r="AI73" s="124"/>
      <c r="AJ73" s="124"/>
      <c r="AK73" s="124"/>
      <c r="AL73" s="124"/>
      <c r="AM73" s="124"/>
      <c r="AN73" s="124"/>
    </row>
    <row r="74" spans="1:40" ht="15.75" customHeight="1" outlineLevel="2" x14ac:dyDescent="0.3">
      <c r="A74" s="200" t="s">
        <v>101</v>
      </c>
      <c r="B74" s="201">
        <f t="shared" ref="B74:L74" si="124">B71/B23</f>
        <v>0.16453045685279188</v>
      </c>
      <c r="C74" s="201">
        <f t="shared" si="124"/>
        <v>0.13500853543979505</v>
      </c>
      <c r="D74" s="201">
        <f t="shared" si="124"/>
        <v>0.1505434351447838</v>
      </c>
      <c r="E74" s="201">
        <f t="shared" si="124"/>
        <v>0.14861593274336282</v>
      </c>
      <c r="F74" s="201">
        <f t="shared" si="124"/>
        <v>0.17504925287356324</v>
      </c>
      <c r="G74" s="201">
        <f t="shared" si="124"/>
        <v>0.1765939358860196</v>
      </c>
      <c r="H74" s="201">
        <f t="shared" si="124"/>
        <v>0.18248828959700095</v>
      </c>
      <c r="I74" s="201">
        <f t="shared" si="124"/>
        <v>0.19647250115580212</v>
      </c>
      <c r="J74" s="201">
        <f t="shared" si="124"/>
        <v>0.20517714666666667</v>
      </c>
      <c r="K74" s="201">
        <f t="shared" si="124"/>
        <v>0.24842831168831167</v>
      </c>
      <c r="L74" s="201">
        <f t="shared" si="124"/>
        <v>0.22643873382226054</v>
      </c>
      <c r="M74" s="273">
        <v>0.21299999999999999</v>
      </c>
      <c r="N74" s="273">
        <v>0.21199999999999999</v>
      </c>
      <c r="O74" s="273">
        <f>N74</f>
        <v>0.21199999999999999</v>
      </c>
      <c r="P74" s="273">
        <v>0.2</v>
      </c>
      <c r="Q74" s="273">
        <v>0.2</v>
      </c>
      <c r="R74" s="124"/>
      <c r="T74" s="124"/>
      <c r="U74" s="124"/>
      <c r="V74" s="124"/>
      <c r="W74" s="125"/>
      <c r="X74" s="126"/>
      <c r="Y74" s="126"/>
      <c r="Z74" s="124"/>
      <c r="AA74" s="124"/>
      <c r="AB74" s="124"/>
      <c r="AC74" s="124"/>
      <c r="AD74" s="124"/>
      <c r="AE74" s="124"/>
      <c r="AF74" s="124"/>
      <c r="AG74" s="124"/>
      <c r="AH74" s="124"/>
      <c r="AI74" s="124"/>
      <c r="AJ74" s="124"/>
      <c r="AK74" s="124"/>
      <c r="AL74" s="124"/>
      <c r="AM74" s="124"/>
      <c r="AN74" s="124"/>
    </row>
    <row r="75" spans="1:40" ht="15.75" customHeight="1" outlineLevel="2" x14ac:dyDescent="0.3">
      <c r="A75" s="200" t="s">
        <v>97</v>
      </c>
      <c r="B75" s="201"/>
      <c r="C75" s="201">
        <f>C74/B74-1</f>
        <v>-0.17943134649781345</v>
      </c>
      <c r="D75" s="201">
        <f t="shared" ref="D75" si="125">D74/C74-1</f>
        <v>0.11506605604144404</v>
      </c>
      <c r="E75" s="201">
        <f t="shared" ref="E75" si="126">E74/D74-1</f>
        <v>-1.2803629726976906E-2</v>
      </c>
      <c r="F75" s="201">
        <f t="shared" ref="F75" si="127">F74/E74-1</f>
        <v>0.17786329932637002</v>
      </c>
      <c r="G75" s="201">
        <f t="shared" ref="G75" si="128">G74/F74-1</f>
        <v>8.8242765227457554E-3</v>
      </c>
      <c r="H75" s="201">
        <f t="shared" ref="H75" si="129">H74/G74-1</f>
        <v>3.3378007468986892E-2</v>
      </c>
      <c r="I75" s="201">
        <f t="shared" ref="I75" si="130">I74/H74-1</f>
        <v>7.6630733893573666E-2</v>
      </c>
      <c r="J75" s="201">
        <f t="shared" ref="J75" si="131">J74/I74-1</f>
        <v>4.4304650572762894E-2</v>
      </c>
      <c r="K75" s="201">
        <f t="shared" ref="K75" si="132">K74/J74-1</f>
        <v>0.21079913491492008</v>
      </c>
      <c r="L75" s="201">
        <f t="shared" ref="L75" si="133">L74/K74-1</f>
        <v>-8.8514782057691366E-2</v>
      </c>
      <c r="M75" s="142">
        <f t="shared" ref="M75" si="134">M74/L74-1</f>
        <v>-5.9348211303853482E-2</v>
      </c>
      <c r="N75" s="142">
        <f t="shared" ref="N75" si="135">N74/M74-1</f>
        <v>-4.6948356807511304E-3</v>
      </c>
      <c r="O75" s="142">
        <f t="shared" ref="O75" si="136">O74/N74-1</f>
        <v>0</v>
      </c>
      <c r="P75" s="142">
        <f t="shared" ref="P75" si="137">P74/O74-1</f>
        <v>-5.6603773584905537E-2</v>
      </c>
      <c r="Q75" s="142">
        <f t="shared" ref="Q75" si="138">Q74/P74-1</f>
        <v>0</v>
      </c>
      <c r="R75" s="124"/>
      <c r="T75" s="124"/>
      <c r="U75" s="124"/>
      <c r="V75" s="124"/>
      <c r="W75" s="125"/>
      <c r="X75" s="126"/>
      <c r="Y75" s="126"/>
      <c r="Z75" s="124"/>
      <c r="AA75" s="124"/>
      <c r="AB75" s="124"/>
      <c r="AC75" s="124"/>
      <c r="AD75" s="124"/>
      <c r="AE75" s="124"/>
      <c r="AF75" s="124"/>
      <c r="AG75" s="124"/>
      <c r="AH75" s="124"/>
      <c r="AI75" s="124"/>
      <c r="AJ75" s="124"/>
      <c r="AK75" s="124"/>
      <c r="AL75" s="124"/>
      <c r="AM75" s="124"/>
      <c r="AN75" s="124"/>
    </row>
    <row r="76" spans="1:40" ht="15.75" customHeight="1" outlineLevel="2" x14ac:dyDescent="0.3">
      <c r="A76" s="200" t="s">
        <v>102</v>
      </c>
      <c r="B76" s="202">
        <f t="shared" ref="B76:Q76" si="139">(B71/B11)*1000000</f>
        <v>235.72727272727272</v>
      </c>
      <c r="C76" s="202">
        <f t="shared" si="139"/>
        <v>197.61874374999999</v>
      </c>
      <c r="D76" s="202">
        <f t="shared" si="139"/>
        <v>216.86857142857141</v>
      </c>
      <c r="E76" s="202">
        <f t="shared" si="139"/>
        <v>262.40000624999999</v>
      </c>
      <c r="F76" s="202">
        <f t="shared" si="139"/>
        <v>284.27998666666667</v>
      </c>
      <c r="G76" s="202">
        <f t="shared" si="139"/>
        <v>285.34530935251797</v>
      </c>
      <c r="H76" s="202">
        <f t="shared" si="139"/>
        <v>306.63780314960627</v>
      </c>
      <c r="I76" s="202">
        <f t="shared" si="139"/>
        <v>324.40459541984734</v>
      </c>
      <c r="J76" s="202">
        <f t="shared" si="139"/>
        <v>349.73377272727271</v>
      </c>
      <c r="K76" s="202">
        <f t="shared" si="139"/>
        <v>518.71611510791365</v>
      </c>
      <c r="L76" s="202">
        <f t="shared" si="139"/>
        <v>498.94009980988596</v>
      </c>
      <c r="M76" s="211">
        <f t="shared" si="139"/>
        <v>487.26869588923165</v>
      </c>
      <c r="N76" s="211">
        <f t="shared" si="139"/>
        <v>556.67390021491167</v>
      </c>
      <c r="O76" s="211">
        <f t="shared" si="139"/>
        <v>535.46727544481996</v>
      </c>
      <c r="P76" s="211">
        <f t="shared" si="139"/>
        <v>520.94398849289666</v>
      </c>
      <c r="Q76" s="211">
        <f t="shared" si="139"/>
        <v>545.75084508779662</v>
      </c>
      <c r="R76" s="124"/>
      <c r="T76" s="124"/>
      <c r="U76" s="124"/>
      <c r="V76" s="124"/>
      <c r="W76" s="125"/>
      <c r="X76" s="126"/>
      <c r="Y76" s="126"/>
      <c r="Z76" s="124"/>
      <c r="AA76" s="124"/>
      <c r="AB76" s="124"/>
      <c r="AC76" s="124"/>
      <c r="AD76" s="124"/>
      <c r="AE76" s="124"/>
      <c r="AF76" s="124"/>
      <c r="AG76" s="124"/>
      <c r="AH76" s="124"/>
      <c r="AI76" s="124"/>
      <c r="AJ76" s="124"/>
      <c r="AK76" s="124"/>
      <c r="AL76" s="124"/>
      <c r="AM76" s="124"/>
      <c r="AN76" s="124"/>
    </row>
    <row r="77" spans="1:40" ht="15.75" customHeight="1" outlineLevel="2" x14ac:dyDescent="0.3">
      <c r="A77" s="200" t="s">
        <v>97</v>
      </c>
      <c r="B77" s="201"/>
      <c r="C77" s="201">
        <f>C76/B76-1</f>
        <v>-0.16166364008870038</v>
      </c>
      <c r="D77" s="201">
        <f t="shared" ref="D77" si="140">D76/C76-1</f>
        <v>9.7408916347143881E-2</v>
      </c>
      <c r="E77" s="201">
        <f t="shared" ref="E77" si="141">E76/D76-1</f>
        <v>0.20994943860007376</v>
      </c>
      <c r="F77" s="201">
        <f t="shared" ref="F77" si="142">F76/E76-1</f>
        <v>8.3384069723766219E-2</v>
      </c>
      <c r="G77" s="201">
        <f t="shared" ref="G77" si="143">G76/F76-1</f>
        <v>3.7474417328591247E-3</v>
      </c>
      <c r="H77" s="201">
        <f t="shared" ref="H77" si="144">H76/G76-1</f>
        <v>7.4620093967563195E-2</v>
      </c>
      <c r="I77" s="201">
        <f t="shared" ref="I77" si="145">I76/H76-1</f>
        <v>5.7940645568650861E-2</v>
      </c>
      <c r="J77" s="201">
        <f t="shared" ref="J77" si="146">J76/I76-1</f>
        <v>7.8078971953662091E-2</v>
      </c>
      <c r="K77" s="201">
        <f t="shared" ref="K77" si="147">K76/J76-1</f>
        <v>0.48317421867180022</v>
      </c>
      <c r="L77" s="201">
        <f t="shared" ref="L77" si="148">L76/K76-1</f>
        <v>-3.8124929459562806E-2</v>
      </c>
      <c r="M77" s="142">
        <f t="shared" ref="M77" si="149">M76/L76-1</f>
        <v>-2.3392395049228409E-2</v>
      </c>
      <c r="N77" s="142">
        <f t="shared" ref="N77" si="150">N76/M76-1</f>
        <v>0.14243723208818149</v>
      </c>
      <c r="O77" s="142">
        <f t="shared" ref="O77" si="151">O76/N76-1</f>
        <v>-3.8095238095237849E-2</v>
      </c>
      <c r="P77" s="142">
        <f t="shared" ref="P77" si="152">P76/O76-1</f>
        <v>-2.712264150943422E-2</v>
      </c>
      <c r="Q77" s="142">
        <f t="shared" ref="Q77" si="153">Q76/P76-1</f>
        <v>4.7619047619047894E-2</v>
      </c>
      <c r="R77" s="124"/>
      <c r="T77" s="124"/>
      <c r="U77" s="124"/>
      <c r="V77" s="124"/>
      <c r="W77" s="125"/>
      <c r="X77" s="126"/>
      <c r="Y77" s="126"/>
      <c r="Z77" s="124"/>
      <c r="AA77" s="124"/>
      <c r="AB77" s="124"/>
      <c r="AC77" s="124"/>
      <c r="AD77" s="124"/>
      <c r="AE77" s="124"/>
      <c r="AF77" s="124"/>
      <c r="AG77" s="124"/>
      <c r="AH77" s="124"/>
      <c r="AI77" s="124"/>
      <c r="AJ77" s="124"/>
      <c r="AK77" s="124"/>
      <c r="AL77" s="124"/>
      <c r="AM77" s="124"/>
      <c r="AN77" s="124"/>
    </row>
    <row r="78" spans="1:40" outlineLevel="2" x14ac:dyDescent="0.3">
      <c r="A78" s="198"/>
      <c r="B78" s="202"/>
      <c r="C78" s="202"/>
      <c r="D78" s="202"/>
      <c r="E78" s="202"/>
      <c r="F78" s="202"/>
      <c r="G78" s="202"/>
      <c r="H78" s="202"/>
      <c r="I78" s="202"/>
      <c r="J78" s="202"/>
      <c r="K78" s="202"/>
      <c r="L78" s="202"/>
      <c r="M78" s="211"/>
      <c r="N78" s="211"/>
      <c r="O78" s="211"/>
      <c r="P78" s="211"/>
      <c r="Q78" s="211"/>
      <c r="R78" s="124"/>
      <c r="T78" s="124"/>
      <c r="U78" s="124"/>
      <c r="V78" s="124"/>
      <c r="W78" s="125"/>
      <c r="X78" s="126"/>
      <c r="Y78" s="126"/>
      <c r="Z78" s="124"/>
      <c r="AA78" s="124"/>
      <c r="AB78" s="124"/>
      <c r="AC78" s="124"/>
      <c r="AD78" s="124"/>
      <c r="AE78" s="124"/>
      <c r="AF78" s="124"/>
      <c r="AG78" s="124"/>
      <c r="AH78" s="124"/>
      <c r="AI78" s="124"/>
      <c r="AJ78" s="124"/>
      <c r="AK78" s="124"/>
      <c r="AL78" s="124"/>
      <c r="AM78" s="124"/>
      <c r="AN78" s="124"/>
    </row>
    <row r="79" spans="1:40" outlineLevel="2" x14ac:dyDescent="0.3">
      <c r="A79" s="198" t="s">
        <v>103</v>
      </c>
      <c r="B79" s="202">
        <v>10.545</v>
      </c>
      <c r="C79" s="202">
        <v>14.714</v>
      </c>
      <c r="D79" s="202">
        <v>16.483000000000001</v>
      </c>
      <c r="E79" s="202">
        <v>28.275998999999999</v>
      </c>
      <c r="F79" s="202">
        <v>26.200001</v>
      </c>
      <c r="G79" s="202">
        <v>25.127001</v>
      </c>
      <c r="H79" s="202">
        <v>25.908000999999999</v>
      </c>
      <c r="I79" s="202">
        <v>31.111999999999998</v>
      </c>
      <c r="J79" s="202">
        <v>33.828999000000003</v>
      </c>
      <c r="K79" s="202">
        <v>45.428001000000002</v>
      </c>
      <c r="L79" s="202">
        <v>56.511001999999998</v>
      </c>
      <c r="M79" s="211">
        <f>M23*M82</f>
        <v>63.775008000000007</v>
      </c>
      <c r="N79" s="211">
        <f>N23*N82</f>
        <v>85.529938728960019</v>
      </c>
      <c r="O79" s="211">
        <f>O23*O82</f>
        <v>86.385238116249624</v>
      </c>
      <c r="P79" s="211">
        <f>P23*P82</f>
        <v>88.383321871891212</v>
      </c>
      <c r="Q79" s="211">
        <f>Q23*Q82</f>
        <v>97.221654059080365</v>
      </c>
      <c r="R79" s="124"/>
      <c r="S79" s="124"/>
      <c r="T79" s="124"/>
      <c r="U79" s="124"/>
      <c r="V79" s="124"/>
      <c r="W79" s="125"/>
      <c r="X79" s="126"/>
      <c r="Y79" s="126"/>
      <c r="Z79" s="124"/>
      <c r="AA79" s="124"/>
      <c r="AB79" s="124"/>
      <c r="AC79" s="197"/>
      <c r="AD79" s="197"/>
      <c r="AE79" s="197"/>
      <c r="AF79" s="197"/>
      <c r="AG79" s="197"/>
      <c r="AH79" s="197"/>
      <c r="AI79" s="197"/>
      <c r="AJ79" s="197"/>
      <c r="AK79" s="197"/>
      <c r="AL79" s="197"/>
      <c r="AM79" s="197"/>
      <c r="AN79" s="197"/>
    </row>
    <row r="80" spans="1:40" outlineLevel="2" x14ac:dyDescent="0.3">
      <c r="A80" s="200" t="str">
        <f>A79&amp;" as a % of Revenue"</f>
        <v>Salaries, Wages, and Administrative Personnel Expenses as a % of Revenue</v>
      </c>
      <c r="B80" s="201">
        <f t="shared" ref="B80:Q80" si="154">B79/B45</f>
        <v>6.4667463894765895E-2</v>
      </c>
      <c r="C80" s="201">
        <f t="shared" si="154"/>
        <v>6.1031656490576056E-2</v>
      </c>
      <c r="D80" s="201">
        <f t="shared" si="154"/>
        <v>6.1916120428976588E-2</v>
      </c>
      <c r="E80" s="201">
        <f t="shared" si="154"/>
        <v>9.7291081879896643E-2</v>
      </c>
      <c r="F80" s="201">
        <f t="shared" si="154"/>
        <v>9.9706971876546036E-2</v>
      </c>
      <c r="G80" s="201">
        <f t="shared" si="154"/>
        <v>0.10219503971562555</v>
      </c>
      <c r="H80" s="201">
        <f t="shared" si="154"/>
        <v>0.11197552426395586</v>
      </c>
      <c r="I80" s="201">
        <f t="shared" si="154"/>
        <v>0.12815791533306145</v>
      </c>
      <c r="J80" s="201">
        <f t="shared" si="154"/>
        <v>0.12342791311993988</v>
      </c>
      <c r="K80" s="201">
        <f t="shared" si="154"/>
        <v>0.11213329466214132</v>
      </c>
      <c r="L80" s="201">
        <f t="shared" si="154"/>
        <v>0.11312087164181495</v>
      </c>
      <c r="M80" s="142">
        <f t="shared" si="154"/>
        <v>0.1155517792721438</v>
      </c>
      <c r="N80" s="142">
        <f t="shared" si="154"/>
        <v>0.1199418050742585</v>
      </c>
      <c r="O80" s="142">
        <f t="shared" si="154"/>
        <v>0.12067221814164908</v>
      </c>
      <c r="P80" s="142">
        <f t="shared" si="154"/>
        <v>0.11419340845126974</v>
      </c>
      <c r="Q80" s="142">
        <f t="shared" si="154"/>
        <v>0.1144451266729867</v>
      </c>
      <c r="R80" s="124"/>
      <c r="S80" s="124"/>
      <c r="T80" s="124"/>
      <c r="U80" s="124"/>
      <c r="V80" s="124"/>
      <c r="W80" s="125"/>
      <c r="X80" s="126"/>
      <c r="Y80" s="126"/>
      <c r="Z80" s="124"/>
      <c r="AA80" s="124"/>
      <c r="AB80" s="124"/>
      <c r="AC80" s="197"/>
      <c r="AD80" s="197"/>
      <c r="AE80" s="197"/>
      <c r="AF80" s="197"/>
      <c r="AG80" s="197"/>
      <c r="AH80" s="197"/>
      <c r="AI80" s="197"/>
      <c r="AJ80" s="197"/>
      <c r="AK80" s="197"/>
      <c r="AL80" s="197"/>
      <c r="AM80" s="197"/>
      <c r="AN80" s="197"/>
    </row>
    <row r="81" spans="1:40" outlineLevel="2" x14ac:dyDescent="0.3">
      <c r="A81" s="200" t="s">
        <v>104</v>
      </c>
      <c r="B81" s="201"/>
      <c r="C81" s="201">
        <f>C79/B79-1</f>
        <v>0.39535324798482696</v>
      </c>
      <c r="D81" s="201">
        <f t="shared" ref="D81:L81" si="155">D79/C79-1</f>
        <v>0.12022563544923193</v>
      </c>
      <c r="E81" s="201">
        <f t="shared" si="155"/>
        <v>0.71546435721652601</v>
      </c>
      <c r="F81" s="201">
        <f t="shared" si="155"/>
        <v>-7.3419085918060678E-2</v>
      </c>
      <c r="G81" s="201">
        <f t="shared" si="155"/>
        <v>-4.0954196910145124E-2</v>
      </c>
      <c r="H81" s="201">
        <f t="shared" si="155"/>
        <v>3.1082101680180552E-2</v>
      </c>
      <c r="I81" s="201">
        <f t="shared" si="155"/>
        <v>0.20086455145651727</v>
      </c>
      <c r="J81" s="201">
        <f t="shared" si="155"/>
        <v>8.7329615582412146E-2</v>
      </c>
      <c r="K81" s="201">
        <f t="shared" si="155"/>
        <v>0.3428715700396574</v>
      </c>
      <c r="L81" s="201">
        <f t="shared" si="155"/>
        <v>0.24396849423332534</v>
      </c>
      <c r="M81" s="142">
        <f t="shared" ref="M81" si="156">M79/L79-1</f>
        <v>0.12854144755741559</v>
      </c>
      <c r="N81" s="142">
        <f t="shared" ref="N81" si="157">N79/M79-1</f>
        <v>0.34112000000000009</v>
      </c>
      <c r="O81" s="142">
        <f t="shared" ref="O81" si="158">O79/N79-1</f>
        <v>1.0000000000000009E-2</v>
      </c>
      <c r="P81" s="142">
        <f t="shared" ref="P81" si="159">P79/O79-1</f>
        <v>2.3129921259842368E-2</v>
      </c>
      <c r="Q81" s="142">
        <f t="shared" ref="Q81" si="160">Q79/P79-1</f>
        <v>0.10000000000000031</v>
      </c>
      <c r="R81" s="124"/>
      <c r="S81" s="124"/>
      <c r="T81" s="124"/>
      <c r="U81" s="124"/>
      <c r="V81" s="124"/>
      <c r="W81" s="125"/>
      <c r="X81" s="126"/>
      <c r="Y81" s="126"/>
      <c r="Z81" s="124"/>
      <c r="AA81" s="124"/>
      <c r="AB81" s="124"/>
      <c r="AC81" s="197"/>
      <c r="AD81" s="197"/>
      <c r="AE81" s="197"/>
      <c r="AF81" s="197"/>
      <c r="AG81" s="197"/>
      <c r="AH81" s="197"/>
      <c r="AI81" s="197"/>
      <c r="AJ81" s="197"/>
      <c r="AK81" s="197"/>
      <c r="AL81" s="197"/>
      <c r="AM81" s="197"/>
      <c r="AN81" s="197"/>
    </row>
    <row r="82" spans="1:40" outlineLevel="2" x14ac:dyDescent="0.3">
      <c r="A82" s="200" t="s">
        <v>497</v>
      </c>
      <c r="B82" s="201">
        <f t="shared" ref="B82:L82" si="161">B79/B23</f>
        <v>6.6909898477157365E-2</v>
      </c>
      <c r="C82" s="201">
        <f t="shared" si="161"/>
        <v>6.2826643894107609E-2</v>
      </c>
      <c r="D82" s="201">
        <f t="shared" si="161"/>
        <v>6.5382784609282041E-2</v>
      </c>
      <c r="E82" s="201">
        <f t="shared" si="161"/>
        <v>0.10009203185840708</v>
      </c>
      <c r="F82" s="201">
        <f t="shared" si="161"/>
        <v>0.10755337027914615</v>
      </c>
      <c r="G82" s="201">
        <f t="shared" si="161"/>
        <v>0.11187444790739091</v>
      </c>
      <c r="H82" s="201">
        <f t="shared" si="161"/>
        <v>0.1214058153701968</v>
      </c>
      <c r="I82" s="201">
        <f t="shared" si="161"/>
        <v>0.14383726306056402</v>
      </c>
      <c r="J82" s="201">
        <f t="shared" si="161"/>
        <v>0.12887237714285715</v>
      </c>
      <c r="K82" s="201">
        <f t="shared" si="161"/>
        <v>0.12040286509408958</v>
      </c>
      <c r="L82" s="201">
        <f t="shared" si="161"/>
        <v>0.12189603537532355</v>
      </c>
      <c r="M82" s="273">
        <v>0.125</v>
      </c>
      <c r="N82" s="273">
        <v>0.127</v>
      </c>
      <c r="O82" s="273">
        <f>N82</f>
        <v>0.127</v>
      </c>
      <c r="P82" s="273">
        <v>0.12</v>
      </c>
      <c r="Q82" s="273">
        <v>0.12</v>
      </c>
      <c r="R82" s="124"/>
      <c r="S82" s="124"/>
      <c r="T82" s="124"/>
      <c r="U82" s="124"/>
      <c r="V82" s="124"/>
      <c r="W82" s="125"/>
      <c r="X82" s="126"/>
      <c r="Y82" s="126"/>
      <c r="Z82" s="124"/>
      <c r="AA82" s="124"/>
      <c r="AB82" s="124"/>
      <c r="AC82" s="197"/>
      <c r="AD82" s="197"/>
      <c r="AE82" s="197"/>
      <c r="AF82" s="197"/>
      <c r="AG82" s="197"/>
      <c r="AH82" s="197"/>
      <c r="AI82" s="197"/>
      <c r="AJ82" s="197"/>
      <c r="AK82" s="197"/>
      <c r="AL82" s="197"/>
      <c r="AM82" s="197"/>
      <c r="AN82" s="197"/>
    </row>
    <row r="83" spans="1:40" outlineLevel="2" x14ac:dyDescent="0.3">
      <c r="A83" s="200" t="s">
        <v>97</v>
      </c>
      <c r="B83" s="201"/>
      <c r="C83" s="201">
        <f>C82/B82-1</f>
        <v>-6.1026166172464813E-2</v>
      </c>
      <c r="D83" s="201">
        <f t="shared" ref="D83:Q83" si="162">D82/C82-1</f>
        <v>4.06856161134872E-2</v>
      </c>
      <c r="E83" s="201">
        <f t="shared" si="162"/>
        <v>0.53086217505942002</v>
      </c>
      <c r="F83" s="201">
        <f t="shared" si="162"/>
        <v>7.4544779261690675E-2</v>
      </c>
      <c r="G83" s="201">
        <f t="shared" si="162"/>
        <v>4.0176124811614589E-2</v>
      </c>
      <c r="H83" s="201">
        <f t="shared" si="162"/>
        <v>8.5197001112317539E-2</v>
      </c>
      <c r="I83" s="201">
        <f t="shared" si="162"/>
        <v>0.18476419454840864</v>
      </c>
      <c r="J83" s="201">
        <f t="shared" si="162"/>
        <v>-0.10404039676009247</v>
      </c>
      <c r="K83" s="201">
        <f t="shared" si="162"/>
        <v>-6.5720150714524195E-2</v>
      </c>
      <c r="L83" s="201">
        <f t="shared" si="162"/>
        <v>1.2401451411202968E-2</v>
      </c>
      <c r="M83" s="142">
        <f t="shared" si="162"/>
        <v>2.5464032649783919E-2</v>
      </c>
      <c r="N83" s="142">
        <f t="shared" si="162"/>
        <v>1.6000000000000014E-2</v>
      </c>
      <c r="O83" s="142">
        <f t="shared" si="162"/>
        <v>0</v>
      </c>
      <c r="P83" s="142">
        <f t="shared" si="162"/>
        <v>-5.5118110236220486E-2</v>
      </c>
      <c r="Q83" s="142">
        <f t="shared" si="162"/>
        <v>0</v>
      </c>
      <c r="R83" s="124"/>
      <c r="S83" s="124"/>
      <c r="T83" s="124"/>
      <c r="U83" s="124"/>
      <c r="V83" s="124"/>
      <c r="W83" s="125"/>
      <c r="X83" s="126"/>
      <c r="Y83" s="126"/>
      <c r="Z83" s="124"/>
      <c r="AA83" s="124"/>
      <c r="AB83" s="124"/>
      <c r="AC83" s="197"/>
      <c r="AD83" s="197"/>
      <c r="AE83" s="197"/>
      <c r="AF83" s="197"/>
      <c r="AG83" s="197"/>
      <c r="AH83" s="197"/>
      <c r="AI83" s="197"/>
      <c r="AJ83" s="197"/>
      <c r="AK83" s="197"/>
      <c r="AL83" s="197"/>
      <c r="AM83" s="197"/>
      <c r="AN83" s="197"/>
    </row>
    <row r="84" spans="1:40" outlineLevel="2" x14ac:dyDescent="0.3">
      <c r="A84" s="200" t="s">
        <v>569</v>
      </c>
      <c r="B84" s="202">
        <f t="shared" ref="B84:Q84" si="163">(B79/B11)*1000000</f>
        <v>95.86363636363636</v>
      </c>
      <c r="C84" s="202">
        <f t="shared" si="163"/>
        <v>91.962500000000006</v>
      </c>
      <c r="D84" s="202">
        <f t="shared" si="163"/>
        <v>94.188571428571422</v>
      </c>
      <c r="E84" s="202">
        <f t="shared" si="163"/>
        <v>176.72499375000001</v>
      </c>
      <c r="F84" s="202">
        <f t="shared" si="163"/>
        <v>174.66667333333334</v>
      </c>
      <c r="G84" s="202">
        <f t="shared" si="163"/>
        <v>180.76979136690647</v>
      </c>
      <c r="H84" s="202">
        <f t="shared" si="163"/>
        <v>204.00000787401572</v>
      </c>
      <c r="I84" s="202">
        <f t="shared" si="163"/>
        <v>237.49618320610685</v>
      </c>
      <c r="J84" s="202">
        <f t="shared" si="163"/>
        <v>219.66882467532471</v>
      </c>
      <c r="K84" s="202">
        <f t="shared" si="163"/>
        <v>251.40011621472055</v>
      </c>
      <c r="L84" s="202">
        <f t="shared" si="163"/>
        <v>268.58841254752855</v>
      </c>
      <c r="M84" s="211">
        <f t="shared" si="163"/>
        <v>285.95580744673219</v>
      </c>
      <c r="N84" s="211">
        <f t="shared" si="163"/>
        <v>333.47917607214049</v>
      </c>
      <c r="O84" s="211">
        <f t="shared" si="163"/>
        <v>320.77520745986851</v>
      </c>
      <c r="P84" s="211">
        <f t="shared" si="163"/>
        <v>312.56639309573796</v>
      </c>
      <c r="Q84" s="211">
        <f t="shared" si="163"/>
        <v>327.45050705267789</v>
      </c>
      <c r="R84" s="124"/>
      <c r="S84" s="124"/>
      <c r="T84" s="124"/>
      <c r="U84" s="124"/>
      <c r="V84" s="124"/>
      <c r="W84" s="125"/>
      <c r="X84" s="126"/>
      <c r="Y84" s="126"/>
      <c r="Z84" s="124"/>
      <c r="AA84" s="124"/>
      <c r="AB84" s="124"/>
      <c r="AC84" s="197"/>
      <c r="AD84" s="197"/>
      <c r="AE84" s="197"/>
      <c r="AF84" s="197"/>
      <c r="AG84" s="197"/>
      <c r="AH84" s="197"/>
      <c r="AI84" s="197"/>
      <c r="AJ84" s="197"/>
      <c r="AK84" s="197"/>
      <c r="AL84" s="197"/>
      <c r="AM84" s="197"/>
      <c r="AN84" s="197"/>
    </row>
    <row r="85" spans="1:40" outlineLevel="2" x14ac:dyDescent="0.3">
      <c r="A85" s="200" t="s">
        <v>97</v>
      </c>
      <c r="B85" s="201"/>
      <c r="C85" s="201">
        <f>C84/B84-1</f>
        <v>-4.0694642010431381E-2</v>
      </c>
      <c r="D85" s="201">
        <f t="shared" ref="D85" si="164">D84/C84-1</f>
        <v>2.4206295267869216E-2</v>
      </c>
      <c r="E85" s="201">
        <f t="shared" ref="E85" si="165">E84/D84-1</f>
        <v>0.87628914070557573</v>
      </c>
      <c r="F85" s="201">
        <f t="shared" ref="F85" si="166">F84/E84-1</f>
        <v>-1.1647024979264842E-2</v>
      </c>
      <c r="G85" s="201">
        <f t="shared" ref="G85" si="167">G84/F84-1</f>
        <v>3.4941514125742534E-2</v>
      </c>
      <c r="H85" s="201">
        <f t="shared" ref="H85" si="168">H84/G84-1</f>
        <v>0.12850718215389834</v>
      </c>
      <c r="I85" s="201">
        <f t="shared" ref="I85" si="169">I84/H84-1</f>
        <v>0.16419693156471515</v>
      </c>
      <c r="J85" s="201">
        <f t="shared" ref="J85" si="170">J84/I84-1</f>
        <v>-7.5063768563013E-2</v>
      </c>
      <c r="K85" s="201">
        <f t="shared" ref="K85" si="171">K84/J84-1</f>
        <v>0.14445059095798141</v>
      </c>
      <c r="L85" s="201">
        <f t="shared" ref="L85" si="172">L84/K84-1</f>
        <v>6.8370279980807469E-2</v>
      </c>
      <c r="M85" s="142">
        <f t="shared" ref="M85" si="173">M84/L84-1</f>
        <v>6.4661742978693759E-2</v>
      </c>
      <c r="N85" s="142">
        <f t="shared" ref="N85" si="174">N84/M84-1</f>
        <v>0.16619130434782625</v>
      </c>
      <c r="O85" s="142">
        <f t="shared" ref="O85" si="175">O84/N84-1</f>
        <v>-3.809523809523796E-2</v>
      </c>
      <c r="P85" s="142">
        <f t="shared" ref="P85" si="176">P84/O84-1</f>
        <v>-2.5590551181102539E-2</v>
      </c>
      <c r="Q85" s="142">
        <f t="shared" ref="Q85" si="177">Q84/P84-1</f>
        <v>4.7619047619047672E-2</v>
      </c>
      <c r="R85" s="124"/>
      <c r="S85" s="124"/>
      <c r="T85" s="124"/>
      <c r="U85" s="124"/>
      <c r="V85" s="124"/>
      <c r="W85" s="125"/>
      <c r="X85" s="126"/>
      <c r="Y85" s="126"/>
      <c r="Z85" s="124"/>
      <c r="AA85" s="124"/>
      <c r="AB85" s="124"/>
      <c r="AC85" s="197"/>
      <c r="AD85" s="197"/>
      <c r="AE85" s="197"/>
      <c r="AF85" s="197"/>
      <c r="AG85" s="197"/>
      <c r="AH85" s="197"/>
      <c r="AI85" s="197"/>
      <c r="AJ85" s="197"/>
      <c r="AK85" s="197"/>
      <c r="AL85" s="197"/>
      <c r="AM85" s="197"/>
      <c r="AN85" s="197"/>
    </row>
    <row r="86" spans="1:40" outlineLevel="2" x14ac:dyDescent="0.3">
      <c r="A86" s="200"/>
      <c r="B86" s="201"/>
      <c r="C86" s="201"/>
      <c r="D86" s="201"/>
      <c r="E86" s="201"/>
      <c r="F86" s="201"/>
      <c r="G86" s="201"/>
      <c r="H86" s="201"/>
      <c r="I86" s="201"/>
      <c r="J86" s="201"/>
      <c r="K86" s="201"/>
      <c r="L86" s="201"/>
      <c r="M86" s="54"/>
      <c r="N86" s="54"/>
      <c r="O86" s="54"/>
      <c r="P86" s="54"/>
      <c r="Q86" s="54"/>
      <c r="R86" s="124"/>
      <c r="S86" s="124"/>
      <c r="T86" s="124"/>
      <c r="U86" s="124"/>
      <c r="V86" s="124"/>
      <c r="W86" s="125"/>
      <c r="X86" s="126"/>
      <c r="Y86" s="126"/>
      <c r="Z86" s="124"/>
      <c r="AA86" s="124"/>
      <c r="AB86" s="124"/>
      <c r="AC86" s="197"/>
      <c r="AD86" s="197"/>
      <c r="AE86" s="197"/>
      <c r="AF86" s="197"/>
      <c r="AG86" s="197"/>
      <c r="AH86" s="197"/>
      <c r="AI86" s="197"/>
      <c r="AJ86" s="197"/>
      <c r="AK86" s="197"/>
      <c r="AL86" s="197"/>
      <c r="AM86" s="197"/>
      <c r="AN86" s="197"/>
    </row>
    <row r="87" spans="1:40" outlineLevel="2" x14ac:dyDescent="0.3">
      <c r="A87" s="198" t="s">
        <v>492</v>
      </c>
      <c r="B87" s="202">
        <v>10.54</v>
      </c>
      <c r="C87" s="202">
        <v>19.57</v>
      </c>
      <c r="D87" s="202">
        <v>20.79</v>
      </c>
      <c r="E87" s="202">
        <v>11.52</v>
      </c>
      <c r="F87" s="202">
        <v>12.61</v>
      </c>
      <c r="G87" s="202">
        <v>12.06</v>
      </c>
      <c r="H87" s="202">
        <v>12.12</v>
      </c>
      <c r="I87" s="202">
        <v>12.2</v>
      </c>
      <c r="J87" s="202">
        <v>13.8</v>
      </c>
      <c r="K87" s="202">
        <v>21.84</v>
      </c>
      <c r="L87" s="202">
        <v>24.98</v>
      </c>
      <c r="M87" s="211">
        <f>M23*M89</f>
        <v>28.061003520000003</v>
      </c>
      <c r="N87" s="211">
        <f>N23*N89</f>
        <v>37.713988730880004</v>
      </c>
      <c r="O87" s="211">
        <f>O23*O89</f>
        <v>38.091128618188812</v>
      </c>
      <c r="P87" s="211">
        <f>P23*P89</f>
        <v>39.772494842351051</v>
      </c>
      <c r="Q87" s="211">
        <f>Q23*Q89</f>
        <v>43.749744326586161</v>
      </c>
      <c r="R87" s="124"/>
      <c r="S87" s="124"/>
      <c r="T87" s="124"/>
      <c r="U87" s="124"/>
      <c r="V87" s="124"/>
      <c r="W87" s="125"/>
      <c r="X87" s="126"/>
      <c r="Y87" s="126"/>
      <c r="Z87" s="124"/>
      <c r="AA87" s="124"/>
      <c r="AB87" s="124"/>
      <c r="AC87" s="197"/>
      <c r="AD87" s="197"/>
      <c r="AE87" s="197"/>
      <c r="AF87" s="197"/>
      <c r="AG87" s="197"/>
      <c r="AH87" s="197"/>
      <c r="AI87" s="197"/>
      <c r="AJ87" s="197"/>
      <c r="AK87" s="197"/>
      <c r="AL87" s="197"/>
      <c r="AM87" s="197"/>
      <c r="AN87" s="197"/>
    </row>
    <row r="88" spans="1:40" outlineLevel="2" x14ac:dyDescent="0.3">
      <c r="A88" s="200" t="str">
        <f>A87&amp;" as a % of revenue"</f>
        <v>Other Operating Expense as a % of revenue</v>
      </c>
      <c r="B88" s="201">
        <f t="shared" ref="B88:Q88" si="178">B87/B45</f>
        <v>6.4636801275564953E-2</v>
      </c>
      <c r="C88" s="201">
        <f t="shared" si="178"/>
        <v>8.1173679320414124E-2</v>
      </c>
      <c r="D88" s="201">
        <f t="shared" si="178"/>
        <v>7.8094773021805688E-2</v>
      </c>
      <c r="E88" s="201">
        <f t="shared" si="178"/>
        <v>3.9637618577381094E-2</v>
      </c>
      <c r="F88" s="201">
        <f t="shared" si="178"/>
        <v>4.7988735395973668E-2</v>
      </c>
      <c r="G88" s="201">
        <f t="shared" si="178"/>
        <v>4.9049712656534065E-2</v>
      </c>
      <c r="H88" s="201">
        <f t="shared" si="178"/>
        <v>5.2383175146517288E-2</v>
      </c>
      <c r="I88" s="201">
        <f t="shared" si="178"/>
        <v>5.0254775233458143E-2</v>
      </c>
      <c r="J88" s="201">
        <f t="shared" si="178"/>
        <v>5.0350446404138952E-2</v>
      </c>
      <c r="K88" s="201">
        <f t="shared" si="178"/>
        <v>5.3909287257019441E-2</v>
      </c>
      <c r="L88" s="201">
        <f t="shared" si="178"/>
        <v>5.0003703236628817E-2</v>
      </c>
      <c r="M88" s="142">
        <f t="shared" si="178"/>
        <v>5.0842782879743274E-2</v>
      </c>
      <c r="N88" s="142">
        <f t="shared" si="178"/>
        <v>5.2887725072113978E-2</v>
      </c>
      <c r="O88" s="142">
        <f t="shared" si="178"/>
        <v>5.3209796975845262E-2</v>
      </c>
      <c r="P88" s="142">
        <f t="shared" si="178"/>
        <v>5.1387033803071393E-2</v>
      </c>
      <c r="Q88" s="142">
        <f t="shared" si="178"/>
        <v>5.1500307002844012E-2</v>
      </c>
      <c r="R88" s="124"/>
      <c r="S88" s="124"/>
      <c r="T88" s="124"/>
      <c r="U88" s="124"/>
      <c r="V88" s="124"/>
      <c r="W88" s="125"/>
      <c r="X88" s="126"/>
      <c r="Y88" s="126"/>
      <c r="Z88" s="124"/>
      <c r="AA88" s="124"/>
      <c r="AB88" s="124"/>
      <c r="AC88" s="197"/>
      <c r="AD88" s="197"/>
      <c r="AE88" s="197"/>
      <c r="AF88" s="197"/>
      <c r="AG88" s="197"/>
      <c r="AH88" s="197"/>
      <c r="AI88" s="197"/>
      <c r="AJ88" s="197"/>
      <c r="AK88" s="197"/>
      <c r="AL88" s="197"/>
      <c r="AM88" s="197"/>
      <c r="AN88" s="197"/>
    </row>
    <row r="89" spans="1:40" outlineLevel="2" x14ac:dyDescent="0.3">
      <c r="A89" s="200" t="s">
        <v>499</v>
      </c>
      <c r="B89" s="201">
        <f t="shared" ref="B89:L89" si="179">B87/B23</f>
        <v>6.6878172588832482E-2</v>
      </c>
      <c r="C89" s="201">
        <f t="shared" si="179"/>
        <v>8.3561058923996595E-2</v>
      </c>
      <c r="D89" s="201">
        <f t="shared" si="179"/>
        <v>8.2467274890916306E-2</v>
      </c>
      <c r="E89" s="201">
        <f t="shared" si="179"/>
        <v>4.0778761061946903E-2</v>
      </c>
      <c r="F89" s="201">
        <f t="shared" si="179"/>
        <v>5.1765188834154353E-2</v>
      </c>
      <c r="G89" s="201">
        <f t="shared" si="179"/>
        <v>5.3695458593054322E-2</v>
      </c>
      <c r="H89" s="201">
        <f t="shared" si="179"/>
        <v>5.6794751640112461E-2</v>
      </c>
      <c r="I89" s="201">
        <f t="shared" si="179"/>
        <v>5.640314378178455E-2</v>
      </c>
      <c r="J89" s="201">
        <f t="shared" si="179"/>
        <v>5.2571428571428575E-2</v>
      </c>
      <c r="K89" s="201">
        <f t="shared" si="179"/>
        <v>5.7884972170686451E-2</v>
      </c>
      <c r="L89" s="201">
        <f t="shared" si="179"/>
        <v>5.3882657463330458E-2</v>
      </c>
      <c r="M89" s="273">
        <v>5.5E-2</v>
      </c>
      <c r="N89" s="273">
        <v>5.6000000000000001E-2</v>
      </c>
      <c r="O89" s="273">
        <f>N89</f>
        <v>5.6000000000000001E-2</v>
      </c>
      <c r="P89" s="273">
        <v>5.3999999999999999E-2</v>
      </c>
      <c r="Q89" s="273">
        <v>5.3999999999999999E-2</v>
      </c>
      <c r="R89" s="124"/>
      <c r="S89" s="124"/>
      <c r="T89" s="124"/>
      <c r="U89" s="124"/>
      <c r="V89" s="124"/>
      <c r="W89" s="125"/>
      <c r="X89" s="126"/>
      <c r="Y89" s="126"/>
      <c r="Z89" s="124"/>
      <c r="AA89" s="124"/>
      <c r="AB89" s="124"/>
      <c r="AC89" s="197"/>
      <c r="AD89" s="197"/>
      <c r="AE89" s="197"/>
      <c r="AF89" s="197"/>
      <c r="AG89" s="197"/>
      <c r="AH89" s="197"/>
      <c r="AI89" s="197"/>
      <c r="AJ89" s="197"/>
      <c r="AK89" s="197"/>
      <c r="AL89" s="197"/>
      <c r="AM89" s="197"/>
      <c r="AN89" s="197"/>
    </row>
    <row r="90" spans="1:40" outlineLevel="2" x14ac:dyDescent="0.3">
      <c r="A90" s="200"/>
      <c r="B90" s="201"/>
      <c r="C90" s="201"/>
      <c r="D90" s="201"/>
      <c r="E90" s="201"/>
      <c r="F90" s="201"/>
      <c r="G90" s="201"/>
      <c r="H90" s="201"/>
      <c r="I90" s="201"/>
      <c r="J90" s="201"/>
      <c r="K90" s="201"/>
      <c r="L90" s="201"/>
      <c r="M90" s="212"/>
      <c r="N90" s="212"/>
      <c r="O90" s="212"/>
      <c r="P90" s="212"/>
      <c r="Q90" s="212"/>
      <c r="R90" s="124"/>
      <c r="S90" s="124"/>
      <c r="T90" s="124"/>
      <c r="U90" s="124"/>
      <c r="V90" s="124"/>
      <c r="W90" s="125"/>
      <c r="X90" s="126"/>
      <c r="Y90" s="126"/>
      <c r="Z90" s="124"/>
      <c r="AA90" s="124"/>
      <c r="AB90" s="124"/>
      <c r="AC90" s="197"/>
      <c r="AD90" s="197"/>
      <c r="AE90" s="197"/>
      <c r="AF90" s="197"/>
      <c r="AG90" s="197"/>
      <c r="AH90" s="197"/>
      <c r="AI90" s="197"/>
      <c r="AJ90" s="197"/>
      <c r="AK90" s="197"/>
      <c r="AL90" s="197"/>
      <c r="AM90" s="197"/>
      <c r="AN90" s="197"/>
    </row>
    <row r="91" spans="1:40" outlineLevel="2" x14ac:dyDescent="0.3">
      <c r="A91" s="243" t="s">
        <v>225</v>
      </c>
      <c r="B91" s="201">
        <f t="shared" ref="B91:Q91" si="180">B61/B23</f>
        <v>0.42074871827411164</v>
      </c>
      <c r="C91" s="201">
        <f t="shared" si="180"/>
        <v>0.27806576003415884</v>
      </c>
      <c r="D91" s="201">
        <f t="shared" si="180"/>
        <v>0.31522412534708449</v>
      </c>
      <c r="E91" s="201">
        <f t="shared" si="180"/>
        <v>0.3087575185840708</v>
      </c>
      <c r="F91" s="201">
        <f t="shared" si="180"/>
        <v>0.51176929392446635</v>
      </c>
      <c r="G91" s="201">
        <f t="shared" si="180"/>
        <v>0.73743988423864648</v>
      </c>
      <c r="H91" s="201">
        <f t="shared" si="180"/>
        <v>0.51231491565135889</v>
      </c>
      <c r="I91" s="201">
        <f t="shared" si="180"/>
        <v>0.49705963938973641</v>
      </c>
      <c r="J91" s="201">
        <f t="shared" si="180"/>
        <v>0.60966093333333338</v>
      </c>
      <c r="K91" s="201">
        <f t="shared" si="180"/>
        <v>0.60303470447919427</v>
      </c>
      <c r="L91" s="201">
        <f t="shared" si="180"/>
        <v>0.8012575776531492</v>
      </c>
      <c r="M91" s="142">
        <f t="shared" si="180"/>
        <v>0.57999999999999996</v>
      </c>
      <c r="N91" s="142">
        <f t="shared" si="180"/>
        <v>0.57474999999999998</v>
      </c>
      <c r="O91" s="142">
        <f t="shared" si="180"/>
        <v>0.56999999999999995</v>
      </c>
      <c r="P91" s="142">
        <f t="shared" si="180"/>
        <v>0.54</v>
      </c>
      <c r="Q91" s="142">
        <f t="shared" si="180"/>
        <v>0.54</v>
      </c>
      <c r="R91" s="142"/>
      <c r="S91" s="124"/>
      <c r="T91" s="124"/>
      <c r="U91" s="124"/>
      <c r="V91" s="124"/>
      <c r="W91" s="125"/>
      <c r="X91" s="126"/>
      <c r="Y91" s="126"/>
      <c r="Z91" s="124"/>
      <c r="AA91" s="124"/>
      <c r="AB91" s="124"/>
      <c r="AC91" s="197"/>
      <c r="AD91" s="197"/>
      <c r="AE91" s="197"/>
      <c r="AF91" s="197"/>
      <c r="AG91" s="197"/>
      <c r="AH91" s="197"/>
      <c r="AI91" s="197"/>
      <c r="AJ91" s="197"/>
      <c r="AK91" s="197"/>
      <c r="AL91" s="197"/>
      <c r="AM91" s="197"/>
      <c r="AN91" s="197"/>
    </row>
    <row r="92" spans="1:40" outlineLevel="2" x14ac:dyDescent="0.3">
      <c r="A92" s="243" t="s">
        <v>436</v>
      </c>
      <c r="B92" s="201">
        <f t="shared" ref="B92:Q92" si="181">(B71+B79+B87)/B23</f>
        <v>0.29831852791878172</v>
      </c>
      <c r="C92" s="201">
        <f t="shared" si="181"/>
        <v>0.28139623825789922</v>
      </c>
      <c r="D92" s="201">
        <f t="shared" si="181"/>
        <v>0.29839349464498216</v>
      </c>
      <c r="E92" s="201">
        <f t="shared" si="181"/>
        <v>0.28948672566371675</v>
      </c>
      <c r="F92" s="201">
        <f t="shared" si="181"/>
        <v>0.33436781198686372</v>
      </c>
      <c r="G92" s="201">
        <f t="shared" si="181"/>
        <v>0.3421638423864648</v>
      </c>
      <c r="H92" s="201">
        <f t="shared" si="181"/>
        <v>0.3606888566073102</v>
      </c>
      <c r="I92" s="201">
        <f t="shared" si="181"/>
        <v>0.39671290799815073</v>
      </c>
      <c r="J92" s="201">
        <f t="shared" si="181"/>
        <v>0.3866209523809524</v>
      </c>
      <c r="K92" s="201">
        <f t="shared" si="181"/>
        <v>0.42671614895308768</v>
      </c>
      <c r="L92" s="201">
        <f t="shared" si="181"/>
        <v>0.40221742666091453</v>
      </c>
      <c r="M92" s="142">
        <f t="shared" si="181"/>
        <v>0.39300000000000002</v>
      </c>
      <c r="N92" s="142">
        <f>(N71+N79+N87)/N23</f>
        <v>0.39499999999999996</v>
      </c>
      <c r="O92" s="142">
        <f t="shared" si="181"/>
        <v>0.39499999999999996</v>
      </c>
      <c r="P92" s="142">
        <f t="shared" si="181"/>
        <v>0.374</v>
      </c>
      <c r="Q92" s="142">
        <f t="shared" si="181"/>
        <v>0.37400000000000005</v>
      </c>
      <c r="R92" s="124"/>
      <c r="S92" s="124"/>
      <c r="T92" s="124"/>
      <c r="U92" s="124"/>
      <c r="V92" s="124"/>
      <c r="W92" s="125"/>
      <c r="X92" s="126"/>
      <c r="Y92" s="126"/>
      <c r="Z92" s="124"/>
      <c r="AA92" s="124"/>
      <c r="AB92" s="124"/>
      <c r="AC92" s="197"/>
      <c r="AD92" s="197"/>
      <c r="AE92" s="197"/>
      <c r="AF92" s="197"/>
      <c r="AG92" s="197"/>
      <c r="AH92" s="197"/>
      <c r="AI92" s="197"/>
      <c r="AJ92" s="197"/>
      <c r="AK92" s="197"/>
      <c r="AL92" s="197"/>
      <c r="AM92" s="197"/>
      <c r="AN92" s="197"/>
    </row>
    <row r="93" spans="1:40" outlineLevel="2" x14ac:dyDescent="0.3">
      <c r="A93" s="243" t="s">
        <v>107</v>
      </c>
      <c r="B93" s="201">
        <f>B91+B92</f>
        <v>0.71906724619289331</v>
      </c>
      <c r="C93" s="201">
        <f t="shared" ref="C93:K93" si="182">C91+C92</f>
        <v>0.55946199829205812</v>
      </c>
      <c r="D93" s="201">
        <f t="shared" si="182"/>
        <v>0.61361761999206665</v>
      </c>
      <c r="E93" s="201">
        <f t="shared" si="182"/>
        <v>0.59824424424778755</v>
      </c>
      <c r="F93" s="201">
        <f t="shared" si="182"/>
        <v>0.84613710591133007</v>
      </c>
      <c r="G93" s="201">
        <f t="shared" si="182"/>
        <v>1.0796037266251113</v>
      </c>
      <c r="H93" s="201">
        <f t="shared" si="182"/>
        <v>0.8730037722586691</v>
      </c>
      <c r="I93" s="201">
        <f t="shared" si="182"/>
        <v>0.89377254738788714</v>
      </c>
      <c r="J93" s="201">
        <f t="shared" si="182"/>
        <v>0.99628188571428578</v>
      </c>
      <c r="K93" s="201">
        <f t="shared" si="182"/>
        <v>1.0297508534322819</v>
      </c>
      <c r="L93" s="201">
        <f>L91+L92</f>
        <v>1.2034750043140638</v>
      </c>
      <c r="M93" s="142">
        <f>M91+M92</f>
        <v>0.97299999999999998</v>
      </c>
      <c r="N93" s="142">
        <f t="shared" ref="N93" si="183">N91+N92</f>
        <v>0.96974999999999989</v>
      </c>
      <c r="O93" s="142">
        <f t="shared" ref="O93" si="184">O91+O92</f>
        <v>0.96499999999999986</v>
      </c>
      <c r="P93" s="142">
        <f t="shared" ref="P93" si="185">P91+P92</f>
        <v>0.91400000000000003</v>
      </c>
      <c r="Q93" s="142">
        <f t="shared" ref="Q93" si="186">Q91+Q92</f>
        <v>0.91400000000000015</v>
      </c>
      <c r="R93" s="124"/>
      <c r="S93" s="124"/>
      <c r="T93" s="124"/>
      <c r="U93" s="124"/>
      <c r="V93" s="124"/>
      <c r="W93" s="125"/>
      <c r="X93" s="126"/>
      <c r="Y93" s="126"/>
      <c r="Z93" s="124"/>
      <c r="AA93" s="124"/>
      <c r="AB93" s="124"/>
      <c r="AC93" s="197"/>
      <c r="AD93" s="197"/>
      <c r="AE93" s="197"/>
      <c r="AF93" s="197"/>
      <c r="AG93" s="197"/>
      <c r="AH93" s="197"/>
      <c r="AI93" s="197"/>
      <c r="AJ93" s="197"/>
      <c r="AK93" s="197"/>
      <c r="AL93" s="197"/>
      <c r="AM93" s="197"/>
      <c r="AN93" s="197"/>
    </row>
    <row r="94" spans="1:40" outlineLevel="2" x14ac:dyDescent="0.3">
      <c r="A94" s="129"/>
      <c r="B94" s="137"/>
      <c r="C94" s="137"/>
      <c r="D94" s="137"/>
      <c r="E94" s="137"/>
      <c r="F94" s="137"/>
      <c r="G94" s="137"/>
      <c r="H94" s="137"/>
      <c r="I94" s="137"/>
      <c r="J94" s="137"/>
      <c r="K94" s="137"/>
      <c r="L94" s="137"/>
      <c r="M94" s="130"/>
      <c r="N94" s="130"/>
      <c r="O94" s="130"/>
      <c r="P94" s="130"/>
      <c r="Q94" s="130"/>
      <c r="R94" s="124"/>
      <c r="S94" s="124"/>
      <c r="T94" s="124"/>
      <c r="U94" s="124"/>
      <c r="V94" s="124"/>
      <c r="W94" s="125"/>
      <c r="X94" s="126"/>
      <c r="Y94" s="126"/>
      <c r="Z94" s="124"/>
      <c r="AA94" s="124"/>
      <c r="AB94" s="124"/>
      <c r="AC94" s="124"/>
      <c r="AD94" s="124"/>
      <c r="AE94" s="127"/>
    </row>
    <row r="95" spans="1:40" outlineLevel="2" x14ac:dyDescent="0.3">
      <c r="A95" s="129"/>
      <c r="B95" s="137"/>
      <c r="C95" s="137"/>
      <c r="D95" s="137"/>
      <c r="E95" s="137"/>
      <c r="F95" s="137"/>
      <c r="G95" s="137"/>
      <c r="H95" s="137"/>
      <c r="I95" s="137"/>
      <c r="J95" s="137"/>
      <c r="K95" s="137"/>
      <c r="L95" s="137"/>
      <c r="M95" s="142"/>
      <c r="N95" s="142"/>
      <c r="O95" s="142"/>
      <c r="P95" s="142"/>
      <c r="Q95" s="142"/>
      <c r="R95" s="124"/>
      <c r="S95" s="124"/>
      <c r="T95" s="124"/>
      <c r="U95" s="124"/>
      <c r="V95" s="124"/>
      <c r="W95" s="125"/>
      <c r="X95" s="126"/>
      <c r="Y95" s="126"/>
      <c r="Z95" s="124"/>
      <c r="AA95" s="124"/>
      <c r="AB95" s="124"/>
      <c r="AC95" s="124"/>
      <c r="AD95" s="124"/>
      <c r="AE95" s="127"/>
    </row>
    <row r="96" spans="1:40" outlineLevel="2" x14ac:dyDescent="0.3">
      <c r="B96" s="274"/>
      <c r="C96" s="274"/>
      <c r="D96" s="274"/>
      <c r="E96" s="274"/>
      <c r="F96" s="274"/>
      <c r="G96" s="274"/>
      <c r="H96" s="274"/>
      <c r="I96" s="274"/>
      <c r="J96" s="274"/>
      <c r="K96" s="274"/>
      <c r="L96" s="274"/>
      <c r="M96" s="130"/>
      <c r="N96" s="130"/>
      <c r="O96" s="130"/>
      <c r="P96" s="130"/>
      <c r="Q96" s="130"/>
      <c r="R96" s="124"/>
      <c r="S96" s="124"/>
      <c r="T96" s="124"/>
      <c r="U96" s="124"/>
      <c r="V96" s="124"/>
      <c r="W96" s="125"/>
      <c r="X96" s="126"/>
      <c r="Y96" s="126"/>
      <c r="Z96" s="124"/>
      <c r="AA96" s="124"/>
      <c r="AB96" s="124"/>
      <c r="AC96" s="124"/>
      <c r="AD96" s="124"/>
      <c r="AE96" s="127"/>
    </row>
    <row r="97" spans="1:31" outlineLevel="2" x14ac:dyDescent="0.3">
      <c r="A97" s="129"/>
      <c r="B97" s="137"/>
      <c r="C97" s="137"/>
      <c r="D97" s="137"/>
      <c r="E97" s="137"/>
      <c r="F97" s="137"/>
      <c r="G97" s="137"/>
      <c r="H97" s="137"/>
      <c r="I97" s="137"/>
      <c r="J97" s="137"/>
      <c r="K97" s="137"/>
      <c r="L97" s="137"/>
      <c r="M97" s="130"/>
      <c r="N97" s="130"/>
      <c r="O97" s="130"/>
      <c r="P97" s="130"/>
      <c r="Q97" s="130"/>
      <c r="R97" s="124"/>
      <c r="S97" s="124"/>
      <c r="T97" s="124"/>
      <c r="U97" s="124"/>
      <c r="V97" s="124"/>
      <c r="W97" s="125"/>
      <c r="X97" s="126"/>
      <c r="Y97" s="126"/>
      <c r="Z97" s="124"/>
      <c r="AA97" s="124"/>
      <c r="AB97" s="124"/>
      <c r="AC97" s="124"/>
      <c r="AD97" s="124"/>
      <c r="AE97" s="127"/>
    </row>
    <row r="98" spans="1:31" outlineLevel="2" x14ac:dyDescent="0.3">
      <c r="A98" s="129"/>
      <c r="B98" s="137"/>
      <c r="C98" s="137"/>
      <c r="D98" s="137"/>
      <c r="E98" s="137"/>
      <c r="F98" s="137"/>
      <c r="G98" s="137"/>
      <c r="H98" s="137"/>
      <c r="I98" s="137"/>
      <c r="J98" s="137"/>
      <c r="K98" s="137"/>
      <c r="L98" s="137"/>
      <c r="M98" s="143"/>
      <c r="N98" s="143"/>
      <c r="O98" s="143"/>
      <c r="P98" s="143"/>
      <c r="Q98" s="143"/>
      <c r="R98" s="124"/>
      <c r="S98" s="124"/>
      <c r="T98" s="124"/>
      <c r="U98" s="124"/>
      <c r="V98" s="124"/>
      <c r="W98" s="125"/>
      <c r="X98" s="126"/>
      <c r="Y98" s="126"/>
      <c r="Z98" s="124"/>
      <c r="AA98" s="124"/>
      <c r="AB98" s="124"/>
      <c r="AC98" s="124"/>
      <c r="AD98" s="124"/>
      <c r="AE98" s="127"/>
    </row>
    <row r="99" spans="1:31" outlineLevel="2" x14ac:dyDescent="0.3">
      <c r="B99" s="137"/>
      <c r="C99" s="137"/>
      <c r="D99" s="137"/>
      <c r="E99" s="137"/>
      <c r="F99" s="137"/>
      <c r="G99" s="137"/>
      <c r="H99" s="137"/>
      <c r="I99" s="137"/>
      <c r="J99" s="137"/>
      <c r="K99" s="137"/>
      <c r="L99" s="137"/>
      <c r="M99" s="141"/>
      <c r="N99" s="141"/>
      <c r="O99" s="141"/>
      <c r="P99" s="141"/>
      <c r="Q99" s="141"/>
      <c r="R99" s="124"/>
      <c r="S99" s="124"/>
      <c r="T99" s="124"/>
      <c r="U99" s="124"/>
      <c r="V99" s="124"/>
      <c r="W99" s="125"/>
      <c r="X99" s="126"/>
      <c r="Y99" s="126"/>
      <c r="Z99" s="124"/>
      <c r="AA99" s="124"/>
      <c r="AB99" s="124"/>
      <c r="AC99" s="124"/>
      <c r="AD99" s="124"/>
      <c r="AE99" s="127"/>
    </row>
    <row r="100" spans="1:31" outlineLevel="2" x14ac:dyDescent="0.3">
      <c r="A100" s="79" t="s">
        <v>108</v>
      </c>
      <c r="B100" s="141">
        <f t="shared" ref="B100:Q100" si="187">SUM(B61,B71,B79,B87)</f>
        <v>113.32499799999999</v>
      </c>
      <c r="C100" s="141">
        <f t="shared" si="187"/>
        <v>131.02600000000001</v>
      </c>
      <c r="D100" s="141">
        <f t="shared" si="187"/>
        <v>154.69300199999998</v>
      </c>
      <c r="E100" s="141">
        <f t="shared" si="187"/>
        <v>169.00399899999999</v>
      </c>
      <c r="F100" s="141">
        <f t="shared" si="187"/>
        <v>206.11899900000003</v>
      </c>
      <c r="G100" s="141">
        <f t="shared" si="187"/>
        <v>242.47899699999999</v>
      </c>
      <c r="H100" s="141">
        <f t="shared" si="187"/>
        <v>186.29900500000002</v>
      </c>
      <c r="I100" s="141">
        <f t="shared" si="187"/>
        <v>193.32300199999997</v>
      </c>
      <c r="J100" s="141">
        <f t="shared" si="187"/>
        <v>261.52399500000001</v>
      </c>
      <c r="K100" s="141">
        <f t="shared" si="187"/>
        <v>388.52499699999993</v>
      </c>
      <c r="L100" s="141">
        <f t="shared" si="187"/>
        <v>557.93101200000001</v>
      </c>
      <c r="M100" s="141">
        <f>SUM(M61,M71,M79,M87)</f>
        <v>496.42466227200003</v>
      </c>
      <c r="N100" s="141">
        <f t="shared" si="187"/>
        <v>653.09179592448015</v>
      </c>
      <c r="O100" s="141">
        <f t="shared" si="187"/>
        <v>656.39176993843216</v>
      </c>
      <c r="P100" s="141">
        <f t="shared" si="187"/>
        <v>673.1863015909048</v>
      </c>
      <c r="Q100" s="141">
        <f t="shared" si="187"/>
        <v>740.50493174999554</v>
      </c>
      <c r="R100" s="124"/>
      <c r="S100" s="124"/>
      <c r="T100" s="124"/>
      <c r="U100" s="124"/>
      <c r="V100" s="124"/>
      <c r="W100" s="125"/>
      <c r="X100" s="126"/>
      <c r="Y100" s="126"/>
      <c r="Z100" s="124"/>
      <c r="AA100" s="124"/>
      <c r="AB100" s="124"/>
      <c r="AC100" s="124"/>
      <c r="AD100" s="124"/>
      <c r="AE100" s="127"/>
    </row>
    <row r="101" spans="1:31" outlineLevel="2" x14ac:dyDescent="0.3">
      <c r="A101" s="118"/>
      <c r="B101" s="141"/>
      <c r="C101" s="141"/>
      <c r="D101" s="141"/>
      <c r="E101" s="207"/>
      <c r="F101" s="141"/>
      <c r="G101" s="141"/>
      <c r="H101" s="141"/>
      <c r="I101" s="141"/>
      <c r="J101" s="141"/>
      <c r="K101" s="141"/>
      <c r="L101" s="141"/>
      <c r="M101" s="141"/>
      <c r="N101" s="141"/>
      <c r="O101" s="141"/>
      <c r="P101" s="141"/>
      <c r="Q101" s="141"/>
      <c r="R101" s="124"/>
      <c r="S101" s="124"/>
      <c r="T101" s="124"/>
      <c r="U101" s="124"/>
      <c r="V101" s="124"/>
      <c r="W101" s="125"/>
      <c r="X101" s="126"/>
      <c r="Y101" s="126"/>
      <c r="Z101" s="124"/>
      <c r="AA101" s="124"/>
      <c r="AB101" s="124"/>
      <c r="AC101" s="124"/>
      <c r="AD101" s="124"/>
      <c r="AE101" s="127"/>
    </row>
    <row r="102" spans="1:31" outlineLevel="2" x14ac:dyDescent="0.3">
      <c r="A102" s="79" t="str">
        <f>"Reconcile "&amp;A105&amp;" with"&amp;" above"</f>
        <v>Reconcile Total Expenses (Historical are Broker Actual) with above</v>
      </c>
      <c r="B102" s="136"/>
      <c r="C102" s="136" t="e">
        <f t="shared" ref="C102:L102" si="188">C105-C100</f>
        <v>#VALUE!</v>
      </c>
      <c r="D102" s="136">
        <f t="shared" si="188"/>
        <v>51.814998000000031</v>
      </c>
      <c r="E102" s="136">
        <f t="shared" si="188"/>
        <v>47.648000999999994</v>
      </c>
      <c r="F102" s="136">
        <f t="shared" si="188"/>
        <v>33.027000999999984</v>
      </c>
      <c r="G102" s="136">
        <f t="shared" si="188"/>
        <v>5.627003000000002</v>
      </c>
      <c r="H102" s="136">
        <f t="shared" si="188"/>
        <v>11.392994999999985</v>
      </c>
      <c r="I102" s="136">
        <f t="shared" si="188"/>
        <v>27.350998000000004</v>
      </c>
      <c r="J102" s="136">
        <f t="shared" si="188"/>
        <v>20.313004999999976</v>
      </c>
      <c r="K102" s="136">
        <f t="shared" si="188"/>
        <v>16.990003000000115</v>
      </c>
      <c r="L102" s="136">
        <f t="shared" si="188"/>
        <v>-5.8680120000000215</v>
      </c>
      <c r="M102" s="144">
        <v>0</v>
      </c>
      <c r="N102" s="144">
        <f t="shared" ref="N102:Q102" si="189">M102</f>
        <v>0</v>
      </c>
      <c r="O102" s="144">
        <f t="shared" si="189"/>
        <v>0</v>
      </c>
      <c r="P102" s="144">
        <f t="shared" si="189"/>
        <v>0</v>
      </c>
      <c r="Q102" s="144">
        <f t="shared" si="189"/>
        <v>0</v>
      </c>
      <c r="R102" s="121"/>
      <c r="S102" s="121"/>
      <c r="T102" s="121"/>
      <c r="U102" s="121"/>
      <c r="V102" s="121"/>
      <c r="AC102" s="76"/>
    </row>
    <row r="103" spans="1:31" outlineLevel="2" collapsed="1" x14ac:dyDescent="0.3">
      <c r="A103" s="129" t="s">
        <v>87</v>
      </c>
      <c r="C103" s="130"/>
      <c r="D103" s="130" t="e">
        <f t="shared" ref="D103" si="190">D102/C102-1</f>
        <v>#VALUE!</v>
      </c>
      <c r="E103" s="130">
        <f t="shared" ref="E103" si="191">E102/D102-1</f>
        <v>-8.0420672794391246E-2</v>
      </c>
      <c r="F103" s="130">
        <f t="shared" ref="F103" si="192">F102/E102-1</f>
        <v>-0.30685442606500979</v>
      </c>
      <c r="G103" s="130">
        <f t="shared" ref="G103" si="193">G102/F102-1</f>
        <v>-0.82962416115226434</v>
      </c>
      <c r="H103" s="130">
        <f t="shared" ref="H103" si="194">H102/G102-1</f>
        <v>1.0247003600317934</v>
      </c>
      <c r="I103" s="130">
        <f t="shared" ref="I103" si="195">I102/H102-1</f>
        <v>1.4006855089465096</v>
      </c>
      <c r="J103" s="130">
        <f t="shared" ref="J103" si="196">J102/I102-1</f>
        <v>-0.25732125021544106</v>
      </c>
      <c r="K103" s="130">
        <f t="shared" ref="K103" si="197">K102/J102-1</f>
        <v>-0.16358987751934606</v>
      </c>
      <c r="L103" s="130">
        <f t="shared" ref="L103" si="198">L102/K102-1</f>
        <v>-1.3453802803919448</v>
      </c>
      <c r="M103" s="130">
        <f>IFERROR(M102/L102-1,"")</f>
        <v>-1</v>
      </c>
      <c r="N103" s="130" t="str">
        <f t="shared" ref="N103:Q103" si="199">IFERROR(N102/M102-1,"")</f>
        <v/>
      </c>
      <c r="O103" s="130" t="str">
        <f t="shared" si="199"/>
        <v/>
      </c>
      <c r="P103" s="130" t="str">
        <f t="shared" si="199"/>
        <v/>
      </c>
      <c r="Q103" s="130" t="str">
        <f t="shared" si="199"/>
        <v/>
      </c>
      <c r="R103" s="124"/>
      <c r="S103" s="124"/>
      <c r="T103" s="124"/>
      <c r="U103" s="124"/>
      <c r="V103" s="124"/>
      <c r="W103" s="125"/>
      <c r="X103" s="126"/>
      <c r="Y103" s="126"/>
      <c r="Z103" s="124"/>
      <c r="AA103" s="124"/>
      <c r="AB103" s="124"/>
      <c r="AC103" s="124"/>
      <c r="AD103" s="124"/>
      <c r="AE103" s="127"/>
    </row>
    <row r="104" spans="1:31" outlineLevel="1" x14ac:dyDescent="0.3">
      <c r="A104" s="131"/>
      <c r="B104" s="132"/>
      <c r="C104" s="132"/>
      <c r="D104" s="132"/>
      <c r="E104" s="132"/>
      <c r="F104" s="132"/>
      <c r="G104" s="132"/>
      <c r="H104" s="132"/>
      <c r="I104" s="132"/>
      <c r="J104" s="132"/>
      <c r="K104" s="132"/>
      <c r="L104" s="132"/>
      <c r="M104" s="121"/>
      <c r="N104" s="121"/>
      <c r="O104" s="121"/>
      <c r="P104" s="121"/>
      <c r="Q104" s="121"/>
      <c r="R104" s="121"/>
      <c r="S104" s="121"/>
      <c r="T104" s="121"/>
      <c r="U104" s="121"/>
      <c r="V104" s="121"/>
      <c r="AC104" s="76"/>
    </row>
    <row r="105" spans="1:31" outlineLevel="1" x14ac:dyDescent="0.3">
      <c r="A105" s="118" t="str">
        <f>"Total Expenses (Historical are "&amp;B2&amp;")"</f>
        <v>Total Expenses (Historical are Broker Actual)</v>
      </c>
      <c r="B105" s="140" t="e">
        <f t="shared" ref="B105:L105" si="200">B57-B107</f>
        <v>#VALUE!</v>
      </c>
      <c r="C105" s="140" t="e">
        <f t="shared" si="200"/>
        <v>#VALUE!</v>
      </c>
      <c r="D105" s="140">
        <f t="shared" si="200"/>
        <v>206.50800000000001</v>
      </c>
      <c r="E105" s="140">
        <f t="shared" si="200"/>
        <v>216.65199999999999</v>
      </c>
      <c r="F105" s="140">
        <f t="shared" si="200"/>
        <v>239.14600000000002</v>
      </c>
      <c r="G105" s="140">
        <f t="shared" si="200"/>
        <v>248.10599999999999</v>
      </c>
      <c r="H105" s="140">
        <f t="shared" si="200"/>
        <v>197.69200000000001</v>
      </c>
      <c r="I105" s="140">
        <f t="shared" si="200"/>
        <v>220.67399999999998</v>
      </c>
      <c r="J105" s="140">
        <f t="shared" si="200"/>
        <v>281.83699999999999</v>
      </c>
      <c r="K105" s="140">
        <f t="shared" si="200"/>
        <v>405.51500000000004</v>
      </c>
      <c r="L105" s="140">
        <f t="shared" si="200"/>
        <v>552.06299999999999</v>
      </c>
      <c r="M105" s="141">
        <f>M100+M102</f>
        <v>496.42466227200003</v>
      </c>
      <c r="N105" s="141">
        <f t="shared" ref="N105:Q105" si="201">N100+N102</f>
        <v>653.09179592448015</v>
      </c>
      <c r="O105" s="141">
        <f t="shared" si="201"/>
        <v>656.39176993843216</v>
      </c>
      <c r="P105" s="141">
        <f t="shared" si="201"/>
        <v>673.1863015909048</v>
      </c>
      <c r="Q105" s="141">
        <f t="shared" si="201"/>
        <v>740.50493174999554</v>
      </c>
      <c r="R105" s="124"/>
      <c r="S105" s="124"/>
      <c r="T105" s="124"/>
      <c r="U105" s="124"/>
      <c r="V105" s="124"/>
      <c r="W105" s="125"/>
      <c r="X105" s="126"/>
      <c r="Y105" s="126"/>
      <c r="Z105" s="124"/>
      <c r="AA105" s="124"/>
      <c r="AB105" s="124"/>
      <c r="AC105" s="124"/>
      <c r="AD105" s="124"/>
      <c r="AE105" s="127"/>
    </row>
    <row r="106" spans="1:31" outlineLevel="1" x14ac:dyDescent="0.3">
      <c r="B106" s="124"/>
      <c r="C106" s="124"/>
      <c r="D106" s="124"/>
      <c r="E106" s="124"/>
      <c r="F106" s="124"/>
      <c r="G106" s="124"/>
      <c r="H106" s="124"/>
      <c r="I106" s="124"/>
      <c r="J106" s="124"/>
      <c r="K106" s="124"/>
      <c r="L106" s="124"/>
      <c r="M106" s="216"/>
      <c r="N106" s="216"/>
      <c r="O106" s="216"/>
      <c r="P106" s="141"/>
      <c r="Q106" s="141"/>
      <c r="R106" s="124"/>
      <c r="S106" s="124"/>
      <c r="T106" s="124"/>
      <c r="U106" s="124"/>
      <c r="V106" s="124"/>
      <c r="W106" s="125"/>
      <c r="X106" s="126"/>
      <c r="Y106" s="126"/>
      <c r="Z106" s="124"/>
      <c r="AA106" s="124"/>
      <c r="AB106" s="124"/>
      <c r="AC106" s="124"/>
      <c r="AD106" s="124"/>
      <c r="AE106" s="127"/>
    </row>
    <row r="107" spans="1:31" outlineLevel="1" x14ac:dyDescent="0.3">
      <c r="A107" s="118" t="s">
        <v>109</v>
      </c>
      <c r="B107" s="140" t="str">
        <f>CHOOSE(IF($B$1=2,2,1),'GAAP-IFRS'!E15,IF('Broker Actual'!E15="-",'GAAP-IFRS'!E15,'Broker Actual'!E15))</f>
        <v/>
      </c>
      <c r="C107" s="140" t="str">
        <f>CHOOSE(IF($B$1=2,2,1),'GAAP-IFRS'!F15,IF('Broker Actual'!F15="-",'GAAP-IFRS'!F15,'Broker Actual'!F15))</f>
        <v/>
      </c>
      <c r="D107" s="140">
        <f>CHOOSE(IF($B$1=2,2,1),'GAAP-IFRS'!G15,IF('Broker Actual'!G15="-",'GAAP-IFRS'!G15,'Broker Actual'!G15))</f>
        <v>59.6</v>
      </c>
      <c r="E107" s="140">
        <f>CHOOSE(IF($B$1=2,2,1),'GAAP-IFRS'!H15,IF('Broker Actual'!H15="-",'GAAP-IFRS'!H15,'Broker Actual'!H15))</f>
        <v>69.3</v>
      </c>
      <c r="F107" s="140">
        <f>CHOOSE(IF($B$1=2,2,1),'GAAP-IFRS'!I15,IF('Broker Actual'!I15="-",'GAAP-IFRS'!I15,'Broker Actual'!I15))</f>
        <v>25.3</v>
      </c>
      <c r="G107" s="140">
        <f>CHOOSE(IF($B$1=2,2,1),'GAAP-IFRS'!J15,IF('Broker Actual'!J15="-",'GAAP-IFRS'!J15,'Broker Actual'!J15))</f>
        <v>-3.7</v>
      </c>
      <c r="H107" s="140">
        <f>CHOOSE(IF($B$1=2,2,1),'GAAP-IFRS'!K15,IF('Broker Actual'!K15="-",'GAAP-IFRS'!K15,'Broker Actual'!K15))</f>
        <v>33.6</v>
      </c>
      <c r="I107" s="140">
        <f>CHOOSE(IF($B$1=2,2,1),'GAAP-IFRS'!L15,IF('Broker Actual'!L15="-",'GAAP-IFRS'!L15,'Broker Actual'!L15))</f>
        <v>21.8</v>
      </c>
      <c r="J107" s="140">
        <f>CHOOSE(IF($B$1=2,2,1),'GAAP-IFRS'!M15,IF('Broker Actual'!M15="-",'GAAP-IFRS'!M15,'Broker Actual'!M15))</f>
        <v>28.6</v>
      </c>
      <c r="K107" s="140">
        <f>CHOOSE(IF($B$1=2,2,1),'GAAP-IFRS'!N15,IF('Broker Actual'!N15="-",'GAAP-IFRS'!N15,'Broker Actual'!N15))</f>
        <v>2.4</v>
      </c>
      <c r="L107" s="140">
        <f>CHOOSE(IF($B$1=2,2,1),'GAAP-IFRS'!O15,IF('Broker Actual'!O15="-",'GAAP-IFRS'!O15,'Broker Actual'!O15))</f>
        <v>-52.5</v>
      </c>
      <c r="M107" s="141">
        <f>M57-M105</f>
        <v>55.492481727999973</v>
      </c>
      <c r="N107" s="141">
        <f>N57-N105</f>
        <v>60.003514555519928</v>
      </c>
      <c r="O107" s="141">
        <f>O57-O105</f>
        <v>59.475058786367981</v>
      </c>
      <c r="P107" s="141">
        <f>P57-P105</f>
        <v>100.79288924485536</v>
      </c>
      <c r="Q107" s="141">
        <f>Q57-Q105</f>
        <v>108.99960274084083</v>
      </c>
      <c r="R107" s="124"/>
      <c r="S107" s="124"/>
      <c r="T107" s="124"/>
      <c r="U107" s="124"/>
      <c r="V107" s="124"/>
      <c r="W107" s="125"/>
      <c r="X107" s="126" t="s">
        <v>91</v>
      </c>
      <c r="Y107" s="126" t="s">
        <v>110</v>
      </c>
      <c r="Z107" s="124" cm="1">
        <f t="array" ref="Z107">_xll.FDSC("--",$A$1,""&amp;$X107&amp;"("&amp;$Y107&amp;","&amp;D$2&amp;",ANNUAL_ROLL,+1,0,,,'CURRENCY="&amp;$E$1&amp;"')")</f>
        <v>49.2</v>
      </c>
      <c r="AA107" s="124" cm="1">
        <f t="array" ref="AA107">_xll.FDSC("--",$A$1,""&amp;$X107&amp;"("&amp;$Y107&amp;","&amp;D$2&amp;",ANNUAL_ROLL,+2,0,,,'CURRENCY="&amp;$E$1&amp;"')")</f>
        <v>89.1</v>
      </c>
      <c r="AB107" s="124" t="str" cm="1">
        <f t="array" ref="AB107">_xll.FDSC("--",$A$1,""&amp;$X107&amp;"("&amp;$Y107&amp;","&amp;D$2&amp;",ANNUAL_ROLL,+3,0,,,'CURRENCY="&amp;$E$1&amp;"')")</f>
        <v>--</v>
      </c>
      <c r="AC107" s="124"/>
      <c r="AD107" s="124"/>
      <c r="AE107" s="127"/>
    </row>
    <row r="108" spans="1:31" outlineLevel="1" collapsed="1" x14ac:dyDescent="0.3">
      <c r="A108" s="129" t="s">
        <v>87</v>
      </c>
      <c r="B108" s="124"/>
      <c r="C108" s="130" t="e">
        <f t="shared" ref="C108:Q108" si="202">C107/B107-1</f>
        <v>#VALUE!</v>
      </c>
      <c r="D108" s="130" t="e">
        <f t="shared" si="202"/>
        <v>#VALUE!</v>
      </c>
      <c r="E108" s="130">
        <f t="shared" si="202"/>
        <v>0.16275167785234901</v>
      </c>
      <c r="F108" s="130">
        <f t="shared" si="202"/>
        <v>-0.63492063492063489</v>
      </c>
      <c r="G108" s="130">
        <f t="shared" si="202"/>
        <v>-1.1462450592885376</v>
      </c>
      <c r="H108" s="130">
        <f t="shared" si="202"/>
        <v>-10.081081081081081</v>
      </c>
      <c r="I108" s="130">
        <f t="shared" si="202"/>
        <v>-0.35119047619047616</v>
      </c>
      <c r="J108" s="130">
        <f t="shared" si="202"/>
        <v>0.31192660550458728</v>
      </c>
      <c r="K108" s="130">
        <f t="shared" si="202"/>
        <v>-0.91608391608391604</v>
      </c>
      <c r="L108" s="130">
        <f t="shared" si="202"/>
        <v>-22.875</v>
      </c>
      <c r="M108" s="130">
        <f t="shared" si="202"/>
        <v>-2.0569996519619043</v>
      </c>
      <c r="N108" s="130">
        <f t="shared" si="202"/>
        <v>8.1290882783564777E-2</v>
      </c>
      <c r="O108" s="130">
        <f t="shared" si="202"/>
        <v>-8.8070802696561534E-3</v>
      </c>
      <c r="P108" s="130">
        <f t="shared" si="202"/>
        <v>0.69470852659262361</v>
      </c>
      <c r="Q108" s="130">
        <f t="shared" si="202"/>
        <v>8.142155222923475E-2</v>
      </c>
      <c r="R108" s="124"/>
      <c r="S108" s="124"/>
      <c r="T108" s="124"/>
      <c r="U108" s="124"/>
      <c r="V108" s="124"/>
      <c r="W108" s="125"/>
      <c r="X108" s="126"/>
      <c r="Y108" s="126"/>
      <c r="Z108" s="124"/>
      <c r="AA108" s="124"/>
      <c r="AB108" s="124"/>
      <c r="AC108" s="124"/>
      <c r="AD108" s="124"/>
      <c r="AE108" s="127"/>
    </row>
    <row r="109" spans="1:31" s="118" customFormat="1" outlineLevel="1" x14ac:dyDescent="0.3">
      <c r="A109" s="118" t="s">
        <v>111</v>
      </c>
      <c r="B109" s="217" t="e">
        <f t="shared" ref="B109:Q109" si="203">B107/B57</f>
        <v>#VALUE!</v>
      </c>
      <c r="C109" s="217" t="e">
        <f t="shared" si="203"/>
        <v>#VALUE!</v>
      </c>
      <c r="D109" s="217">
        <f t="shared" si="203"/>
        <v>0.2239692155064861</v>
      </c>
      <c r="E109" s="217">
        <f t="shared" si="203"/>
        <v>0.2423483661593554</v>
      </c>
      <c r="F109" s="217">
        <f t="shared" si="203"/>
        <v>9.5671706132821055E-2</v>
      </c>
      <c r="G109" s="217">
        <f t="shared" si="203"/>
        <v>-1.5138744548006186E-2</v>
      </c>
      <c r="H109" s="217">
        <f t="shared" si="203"/>
        <v>0.14527091295851133</v>
      </c>
      <c r="I109" s="217">
        <f t="shared" si="203"/>
        <v>8.9906546681293678E-2</v>
      </c>
      <c r="J109" s="217">
        <f t="shared" si="203"/>
        <v>9.2128193482091378E-2</v>
      </c>
      <c r="K109" s="217">
        <f t="shared" si="203"/>
        <v>5.8835786867362065E-3</v>
      </c>
      <c r="L109" s="217">
        <f t="shared" si="203"/>
        <v>-0.10509185027714223</v>
      </c>
      <c r="M109" s="217">
        <f t="shared" si="203"/>
        <v>0.10054495014563268</v>
      </c>
      <c r="N109" s="217">
        <f t="shared" si="203"/>
        <v>8.4145153773526077E-2</v>
      </c>
      <c r="O109" s="217">
        <f t="shared" si="203"/>
        <v>8.3081177112666452E-2</v>
      </c>
      <c r="P109" s="217">
        <f t="shared" si="203"/>
        <v>0.13022687229616203</v>
      </c>
      <c r="Q109" s="217">
        <f t="shared" si="203"/>
        <v>0.12830961850741787</v>
      </c>
      <c r="R109" s="157"/>
      <c r="S109" s="157"/>
      <c r="T109" s="157"/>
      <c r="U109" s="157"/>
      <c r="V109" s="157"/>
      <c r="W109" s="158"/>
      <c r="X109" s="159"/>
      <c r="Y109" s="159"/>
      <c r="Z109" s="157"/>
      <c r="AA109" s="157"/>
      <c r="AB109" s="157"/>
      <c r="AC109" s="157"/>
      <c r="AD109" s="157"/>
      <c r="AE109" s="160"/>
    </row>
    <row r="110" spans="1:31" outlineLevel="1" x14ac:dyDescent="0.3">
      <c r="A110" s="129" t="s">
        <v>112</v>
      </c>
      <c r="B110" s="124"/>
      <c r="C110" s="145" t="e">
        <f>(C109-B109)*100</f>
        <v>#VALUE!</v>
      </c>
      <c r="D110" s="145" t="e">
        <f t="shared" ref="D110:Q110" si="204">(D109-C109)*100</f>
        <v>#VALUE!</v>
      </c>
      <c r="E110" s="145">
        <f>(E109-D109)*100</f>
        <v>1.8379150652869298</v>
      </c>
      <c r="F110" s="145">
        <f t="shared" si="204"/>
        <v>-14.667666002653434</v>
      </c>
      <c r="G110" s="145">
        <f t="shared" si="204"/>
        <v>-11.081045068082725</v>
      </c>
      <c r="H110" s="145">
        <f t="shared" si="204"/>
        <v>16.04096575065175</v>
      </c>
      <c r="I110" s="145">
        <f t="shared" si="204"/>
        <v>-5.5364366277217654</v>
      </c>
      <c r="J110" s="145">
        <f t="shared" si="204"/>
        <v>0.22216468007976997</v>
      </c>
      <c r="K110" s="145">
        <f t="shared" si="204"/>
        <v>-8.6244614795355172</v>
      </c>
      <c r="L110" s="145">
        <f t="shared" si="204"/>
        <v>-11.097542896387843</v>
      </c>
      <c r="M110" s="145">
        <f t="shared" si="204"/>
        <v>20.56368004227749</v>
      </c>
      <c r="N110" s="145">
        <f t="shared" si="204"/>
        <v>-1.6399796372106603</v>
      </c>
      <c r="O110" s="145">
        <f t="shared" si="204"/>
        <v>-0.10639766608596252</v>
      </c>
      <c r="P110" s="145">
        <f t="shared" si="204"/>
        <v>4.714569518349558</v>
      </c>
      <c r="Q110" s="145">
        <f t="shared" si="204"/>
        <v>-0.1917253788744161</v>
      </c>
      <c r="R110" s="124"/>
      <c r="S110" s="124"/>
      <c r="T110" s="124"/>
      <c r="U110" s="124"/>
      <c r="V110" s="124"/>
      <c r="W110" s="125"/>
      <c r="X110" s="126"/>
      <c r="Y110" s="126"/>
      <c r="Z110" s="124"/>
      <c r="AA110" s="124"/>
      <c r="AB110" s="124"/>
      <c r="AC110" s="124"/>
      <c r="AD110" s="124"/>
      <c r="AE110" s="127"/>
    </row>
    <row r="111" spans="1:31" outlineLevel="1" x14ac:dyDescent="0.3">
      <c r="A111" s="129"/>
      <c r="B111" s="124"/>
      <c r="C111" s="146"/>
      <c r="D111" s="146"/>
      <c r="E111" s="146"/>
      <c r="F111" s="146"/>
      <c r="G111" s="146"/>
      <c r="H111" s="146"/>
      <c r="I111" s="146"/>
      <c r="J111" s="146"/>
      <c r="K111" s="146"/>
      <c r="L111" s="146"/>
      <c r="M111" s="147"/>
      <c r="N111" s="147"/>
      <c r="O111" s="147"/>
      <c r="P111" s="147"/>
      <c r="Q111" s="147"/>
      <c r="R111" s="124"/>
      <c r="S111" s="124"/>
      <c r="T111" s="124"/>
      <c r="U111" s="124"/>
      <c r="V111" s="124"/>
      <c r="W111" s="125"/>
      <c r="X111" s="126"/>
      <c r="Y111" s="126"/>
      <c r="Z111" s="124"/>
      <c r="AA111" s="124"/>
      <c r="AB111" s="124"/>
      <c r="AC111" s="124"/>
      <c r="AD111" s="124"/>
      <c r="AE111" s="127"/>
    </row>
    <row r="112" spans="1:31" outlineLevel="1" x14ac:dyDescent="0.3">
      <c r="A112" s="79" t="s">
        <v>113</v>
      </c>
      <c r="B112" s="124"/>
      <c r="C112" s="130">
        <f t="shared" ref="C112:L112" si="205">C114/(SUM(B167,C167,B168,C168)/2)</f>
        <v>5.6778432546560363E-2</v>
      </c>
      <c r="D112" s="130">
        <f t="shared" si="205"/>
        <v>8.2691896937718043E-2</v>
      </c>
      <c r="E112" s="130">
        <f t="shared" si="205"/>
        <v>8.4241035583494897E-2</v>
      </c>
      <c r="F112" s="130">
        <f t="shared" si="205"/>
        <v>8.2589119317758253E-2</v>
      </c>
      <c r="G112" s="130">
        <f t="shared" si="205"/>
        <v>8.902091330455697E-2</v>
      </c>
      <c r="H112" s="130">
        <f t="shared" si="205"/>
        <v>7.146326219043618E-2</v>
      </c>
      <c r="I112" s="130">
        <f t="shared" si="205"/>
        <v>6.1639065616921819E-2</v>
      </c>
      <c r="J112" s="130">
        <f t="shared" si="205"/>
        <v>6.5604383316560447E-2</v>
      </c>
      <c r="K112" s="130">
        <f t="shared" si="205"/>
        <v>5.1825639115401126E-2</v>
      </c>
      <c r="L112" s="130">
        <f t="shared" si="205"/>
        <v>5.6470930338222196E-2</v>
      </c>
      <c r="M112" s="123">
        <v>0.06</v>
      </c>
      <c r="N112" s="123">
        <v>0.06</v>
      </c>
      <c r="O112" s="123">
        <v>0.06</v>
      </c>
      <c r="P112" s="123">
        <v>0.04</v>
      </c>
      <c r="Q112" s="123">
        <f t="shared" ref="Q112" si="206">P112</f>
        <v>0.04</v>
      </c>
      <c r="R112" s="124"/>
      <c r="S112" s="124"/>
      <c r="T112" s="124"/>
      <c r="U112" s="124"/>
      <c r="V112" s="124"/>
      <c r="W112" s="125"/>
      <c r="X112" s="126"/>
      <c r="Y112" s="126"/>
      <c r="Z112" s="124"/>
      <c r="AA112" s="124"/>
      <c r="AB112" s="124"/>
      <c r="AC112" s="121"/>
      <c r="AD112" s="124"/>
      <c r="AE112" s="127"/>
    </row>
    <row r="113" spans="1:32" s="104" customFormat="1" outlineLevel="1" x14ac:dyDescent="0.3">
      <c r="A113" s="104" t="s">
        <v>114</v>
      </c>
      <c r="B113" s="225"/>
      <c r="C113" s="225"/>
      <c r="D113" s="225"/>
      <c r="E113" s="225"/>
      <c r="F113" s="225"/>
      <c r="G113" s="225"/>
      <c r="H113" s="225"/>
      <c r="I113" s="225"/>
      <c r="J113" s="225"/>
      <c r="K113" s="225"/>
      <c r="L113" s="225"/>
      <c r="M113" s="233">
        <f>M112*(SUM(L167,M167,L168,M168)/2)</f>
        <v>12.170529541757158</v>
      </c>
      <c r="N113" s="233">
        <f>N112*(SUM(M167,N167,M168,N168)/2)</f>
        <v>10.482060287343799</v>
      </c>
      <c r="O113" s="233">
        <f>O112*(SUM(N167,O167,N168,O168)/2)</f>
        <v>8.2289229648975386</v>
      </c>
      <c r="P113" s="233">
        <f>P112*(SUM(O167,P167,O168,P168)/2)</f>
        <v>3.6511895793633444</v>
      </c>
      <c r="Q113" s="233">
        <f>Q112*(SUM(P167,Q167,P168,Q168)/2)</f>
        <v>1.3169032283011997</v>
      </c>
      <c r="R113" s="225"/>
      <c r="S113" s="225"/>
      <c r="T113" s="225"/>
      <c r="U113" s="225"/>
      <c r="V113" s="225"/>
      <c r="W113" s="227"/>
      <c r="X113" s="228"/>
      <c r="Y113" s="228"/>
      <c r="Z113" s="225"/>
      <c r="AA113" s="225"/>
      <c r="AB113" s="225"/>
      <c r="AC113" s="229"/>
      <c r="AD113" s="225"/>
      <c r="AE113" s="230"/>
    </row>
    <row r="114" spans="1:32" outlineLevel="1" x14ac:dyDescent="0.3">
      <c r="A114" s="79" t="s">
        <v>115</v>
      </c>
      <c r="B114" s="140">
        <f>CHOOSE(IF($B$1=2,2,1),'GAAP-IFRS'!E16,IF('Broker Actual'!E16="-",'GAAP-IFRS'!E16,'Broker Actual'!E16))</f>
        <v>0</v>
      </c>
      <c r="C114" s="140">
        <f>CHOOSE(IF($B$1=2,2,1),'GAAP-IFRS'!F16,IF('Broker Actual'!F16="-",'GAAP-IFRS'!F16,'Broker Actual'!F16))</f>
        <v>3.6034999999999999</v>
      </c>
      <c r="D114" s="140">
        <f>CHOOSE(IF($B$1=2,2,1),'GAAP-IFRS'!G16,IF('Broker Actual'!G16="-",'GAAP-IFRS'!G16,'Broker Actual'!G16))</f>
        <v>10.452999999999999</v>
      </c>
      <c r="E114" s="140">
        <f>CHOOSE(IF($B$1=2,2,1),'GAAP-IFRS'!H16,IF('Broker Actual'!H16="-",'GAAP-IFRS'!H16,'Broker Actual'!H16))</f>
        <v>10.754</v>
      </c>
      <c r="F114" s="140">
        <f>CHOOSE(IF($B$1=2,2,1),'GAAP-IFRS'!I16,IF('Broker Actual'!I16="-",'GAAP-IFRS'!I16,'Broker Actual'!I16))</f>
        <v>11.079000000000001</v>
      </c>
      <c r="G114" s="140">
        <f>CHOOSE(IF($B$1=2,2,1),'GAAP-IFRS'!J16,IF('Broker Actual'!J16="-",'GAAP-IFRS'!J16,'Broker Actual'!J16))</f>
        <v>16.766999999999999</v>
      </c>
      <c r="H114" s="140">
        <f>CHOOSE(IF($B$1=2,2,1),'GAAP-IFRS'!K16,IF('Broker Actual'!K16="-",'GAAP-IFRS'!K16,'Broker Actual'!K16))</f>
        <v>17.436499999999999</v>
      </c>
      <c r="I114" s="140">
        <f>CHOOSE(IF($B$1=2,2,1),'GAAP-IFRS'!L16,IF('Broker Actual'!L16="-",'GAAP-IFRS'!L16,'Broker Actual'!L16))</f>
        <v>13.055</v>
      </c>
      <c r="J114" s="140">
        <f>CHOOSE(IF($B$1=2,2,1),'GAAP-IFRS'!M16,IF('Broker Actual'!M16="-",'GAAP-IFRS'!M16,'Broker Actual'!M16))</f>
        <v>11.734</v>
      </c>
      <c r="K114" s="140">
        <f>CHOOSE(IF($B$1=2,2,1),'GAAP-IFRS'!N16,IF('Broker Actual'!N16="-",'GAAP-IFRS'!N16,'Broker Actual'!N16))</f>
        <v>6.4</v>
      </c>
      <c r="L114" s="140">
        <f>CHOOSE(IF($B$1=2,2,1),'GAAP-IFRS'!O16,IF('Broker Actual'!O16="-",'GAAP-IFRS'!O16,'Broker Actual'!O16))</f>
        <v>7.7679999999999998</v>
      </c>
      <c r="M114" s="148">
        <v>12</v>
      </c>
      <c r="N114" s="148">
        <v>10</v>
      </c>
      <c r="O114" s="148">
        <v>8</v>
      </c>
      <c r="P114" s="148">
        <v>21</v>
      </c>
      <c r="Q114" s="148">
        <v>21</v>
      </c>
      <c r="R114" s="124"/>
      <c r="S114" s="124"/>
      <c r="T114" s="124"/>
      <c r="U114" s="124"/>
      <c r="V114" s="124"/>
      <c r="W114" s="125"/>
      <c r="X114" s="126" t="s">
        <v>91</v>
      </c>
      <c r="Y114" s="126" t="s">
        <v>116</v>
      </c>
      <c r="Z114" s="124" cm="1">
        <f t="array" ref="Z114">_xll.FDSC("--",$A$1,""&amp;$X114&amp;"("&amp;$Y114&amp;","&amp;D$2&amp;",ANNUAL_ROLL,+1,0,,,'CURRENCY="&amp;$E$1&amp;"')")</f>
        <v>10.802</v>
      </c>
      <c r="AA114" s="124" cm="1">
        <f t="array" ref="AA114">_xll.FDSC("--",$A$1,""&amp;$X114&amp;"("&amp;$Y114&amp;","&amp;D$2&amp;",ANNUAL_ROLL,+2,0,,,'CURRENCY="&amp;$E$1&amp;"')")</f>
        <v>10</v>
      </c>
      <c r="AB114" s="124" t="str" cm="1">
        <f t="array" ref="AB114">_xll.FDSC("--",$A$1,""&amp;$X114&amp;"("&amp;$Y114&amp;","&amp;D$2&amp;",ANNUAL_ROLL,+3,0,,,'CURRENCY="&amp;$E$1&amp;"')")</f>
        <v>--</v>
      </c>
      <c r="AC114" s="124"/>
      <c r="AD114" s="124"/>
      <c r="AE114" s="127"/>
    </row>
    <row r="115" spans="1:32" outlineLevel="1" x14ac:dyDescent="0.3">
      <c r="B115" s="124"/>
      <c r="C115" s="124"/>
      <c r="D115" s="124"/>
      <c r="E115" s="124"/>
      <c r="F115" s="124"/>
      <c r="G115" s="124"/>
      <c r="H115" s="124"/>
      <c r="I115" s="124"/>
      <c r="J115" s="124"/>
      <c r="K115" s="124"/>
      <c r="L115" s="124"/>
      <c r="M115" s="124"/>
      <c r="N115" s="124"/>
      <c r="O115" s="124"/>
      <c r="P115" s="124"/>
      <c r="Q115" s="124"/>
      <c r="R115" s="124"/>
      <c r="S115" s="124"/>
      <c r="T115" s="124"/>
      <c r="U115" s="124"/>
      <c r="V115" s="124"/>
      <c r="W115" s="125"/>
      <c r="X115" s="126"/>
      <c r="Y115" s="126"/>
      <c r="Z115" s="124"/>
      <c r="AA115" s="124"/>
      <c r="AB115" s="124"/>
      <c r="AC115" s="124"/>
      <c r="AD115" s="124"/>
      <c r="AE115" s="127"/>
    </row>
    <row r="116" spans="1:32" outlineLevel="1" x14ac:dyDescent="0.3">
      <c r="A116" s="41" t="s">
        <v>117</v>
      </c>
      <c r="B116" s="140">
        <f>CHOOSE(IF($B$1=2,2,1),'GAAP-IFRS'!E17,IF('Broker Actual'!E17="-",'GAAP-IFRS'!E17,'Broker Actual'!E17))</f>
        <v>0</v>
      </c>
      <c r="C116" s="140">
        <f>CHOOSE(IF($B$1=2,2,1),'GAAP-IFRS'!F17,IF('Broker Actual'!F17="-",'GAAP-IFRS'!F17,'Broker Actual'!F17))</f>
        <v>0</v>
      </c>
      <c r="D116" s="140">
        <f>CHOOSE(IF($B$1=2,2,1),'GAAP-IFRS'!G17,IF('Broker Actual'!G17="-",'GAAP-IFRS'!G17,'Broker Actual'!G17))</f>
        <v>0</v>
      </c>
      <c r="E116" s="140">
        <f>CHOOSE(IF($B$1=2,2,1),'GAAP-IFRS'!H17,IF('Broker Actual'!H17="-",'GAAP-IFRS'!H17,'Broker Actual'!H17))</f>
        <v>0</v>
      </c>
      <c r="F116" s="140">
        <f>CHOOSE(IF($B$1=2,2,1),'GAAP-IFRS'!I17,IF('Broker Actual'!I17="-",'GAAP-IFRS'!I17,'Broker Actual'!I17))</f>
        <v>0</v>
      </c>
      <c r="G116" s="140">
        <f>CHOOSE(IF($B$1=2,2,1),'GAAP-IFRS'!J17,IF('Broker Actual'!J17="-",'GAAP-IFRS'!J17,'Broker Actual'!J17))</f>
        <v>0</v>
      </c>
      <c r="H116" s="140">
        <f>CHOOSE(IF($B$1=2,2,1),'GAAP-IFRS'!K17,IF('Broker Actual'!K17="-",'GAAP-IFRS'!K17,'Broker Actual'!K17))</f>
        <v>0</v>
      </c>
      <c r="I116" s="140">
        <f>CHOOSE(IF($B$1=2,2,1),'GAAP-IFRS'!L17,IF('Broker Actual'!L17="-",'GAAP-IFRS'!L17,'Broker Actual'!L17))</f>
        <v>0</v>
      </c>
      <c r="J116" s="140">
        <f>CHOOSE(IF($B$1=2,2,1),'GAAP-IFRS'!M17,IF('Broker Actual'!M17="-",'GAAP-IFRS'!M17,'Broker Actual'!M17))</f>
        <v>0</v>
      </c>
      <c r="K116" s="140">
        <f>CHOOSE(IF($B$1=2,2,1),'GAAP-IFRS'!N17,IF('Broker Actual'!N17="-",'GAAP-IFRS'!N17,'Broker Actual'!N17))</f>
        <v>0</v>
      </c>
      <c r="L116" s="140">
        <f>CHOOSE(IF($B$1=2,2,1),'GAAP-IFRS'!O17,IF('Broker Actual'!O17="-",'GAAP-IFRS'!O17,'Broker Actual'!O17))</f>
        <v>0</v>
      </c>
      <c r="M116" s="148">
        <v>0</v>
      </c>
      <c r="N116" s="148">
        <v>0</v>
      </c>
      <c r="O116" s="148">
        <f t="shared" ref="N116:Q117" si="207">N116</f>
        <v>0</v>
      </c>
      <c r="P116" s="148">
        <f t="shared" si="207"/>
        <v>0</v>
      </c>
      <c r="Q116" s="148">
        <f t="shared" si="207"/>
        <v>0</v>
      </c>
      <c r="R116" s="124"/>
      <c r="S116" s="124"/>
      <c r="T116" s="124"/>
      <c r="U116" s="124"/>
      <c r="V116" s="124"/>
      <c r="W116" s="125"/>
      <c r="X116" s="126"/>
      <c r="Y116" s="126"/>
      <c r="Z116" s="124"/>
      <c r="AA116" s="124"/>
      <c r="AB116" s="124"/>
      <c r="AC116" s="121"/>
      <c r="AD116" s="124"/>
      <c r="AE116" s="127"/>
    </row>
    <row r="117" spans="1:32" outlineLevel="1" x14ac:dyDescent="0.3">
      <c r="A117" s="79" t="s">
        <v>118</v>
      </c>
      <c r="B117" s="140">
        <f>CHOOSE(IF($B$1=2,2,1),'GAAP-IFRS'!E18,IF('Broker Actual'!E18="-",'GAAP-IFRS'!E18,'Broker Actual'!E18))</f>
        <v>0.161</v>
      </c>
      <c r="C117" s="140">
        <f>CHOOSE(IF($B$1=2,2,1),'GAAP-IFRS'!F18,IF('Broker Actual'!F18="-",'GAAP-IFRS'!F18,'Broker Actual'!F18))</f>
        <v>0</v>
      </c>
      <c r="D117" s="140">
        <f>CHOOSE(IF($B$1=2,2,1),'GAAP-IFRS'!G18,IF('Broker Actual'!G18="-",'GAAP-IFRS'!G18,'Broker Actual'!G18))</f>
        <v>0.107</v>
      </c>
      <c r="E117" s="140">
        <f>CHOOSE(IF($B$1=2,2,1),'GAAP-IFRS'!H18,IF('Broker Actual'!H18="-",'GAAP-IFRS'!H18,'Broker Actual'!H18))</f>
        <v>4.681</v>
      </c>
      <c r="F117" s="140">
        <f>CHOOSE(IF($B$1=2,2,1),'GAAP-IFRS'!I18,IF('Broker Actual'!I18="-",'GAAP-IFRS'!I18,'Broker Actual'!I18))</f>
        <v>-1.288</v>
      </c>
      <c r="G117" s="140">
        <f>CHOOSE(IF($B$1=2,2,1),'GAAP-IFRS'!J18,IF('Broker Actual'!J18="-",'GAAP-IFRS'!J18,'Broker Actual'!J18))</f>
        <v>2.2480000000000002</v>
      </c>
      <c r="H117" s="140">
        <f>CHOOSE(IF($B$1=2,2,1),'GAAP-IFRS'!K18,IF('Broker Actual'!K18="-",'GAAP-IFRS'!K18,'Broker Actual'!K18))</f>
        <v>0.08</v>
      </c>
      <c r="I117" s="140">
        <f>CHOOSE(IF($B$1=2,2,1),'GAAP-IFRS'!L18,IF('Broker Actual'!L18="-",'GAAP-IFRS'!L18,'Broker Actual'!L18))</f>
        <v>0.28899999999999998</v>
      </c>
      <c r="J117" s="140">
        <f>CHOOSE(IF($B$1=2,2,1),'GAAP-IFRS'!M18,IF('Broker Actual'!M18="-",'GAAP-IFRS'!M18,'Broker Actual'!M18))</f>
        <v>-36.11</v>
      </c>
      <c r="K117" s="140">
        <f>CHOOSE(IF($B$1=2,2,1),'GAAP-IFRS'!N18,IF('Broker Actual'!N18="-",'GAAP-IFRS'!N18,'Broker Actual'!N18))</f>
        <v>-1.036</v>
      </c>
      <c r="L117" s="140">
        <f>CHOOSE(IF($B$1=2,2,1),'GAAP-IFRS'!O18,IF('Broker Actual'!O18="-",'GAAP-IFRS'!O18,'Broker Actual'!O18))</f>
        <v>2.2839999999999998</v>
      </c>
      <c r="M117" s="148">
        <v>0</v>
      </c>
      <c r="N117" s="148">
        <f t="shared" si="207"/>
        <v>0</v>
      </c>
      <c r="O117" s="148">
        <f t="shared" si="207"/>
        <v>0</v>
      </c>
      <c r="P117" s="148">
        <f t="shared" si="207"/>
        <v>0</v>
      </c>
      <c r="Q117" s="148">
        <f t="shared" si="207"/>
        <v>0</v>
      </c>
      <c r="R117" s="124"/>
      <c r="S117" s="124"/>
      <c r="T117" s="124"/>
      <c r="U117" s="124"/>
      <c r="V117" s="124"/>
      <c r="W117" s="125"/>
      <c r="X117" s="126"/>
      <c r="Y117" s="126"/>
      <c r="Z117" s="124"/>
      <c r="AA117" s="124"/>
      <c r="AB117" s="124"/>
      <c r="AC117" s="124"/>
      <c r="AD117" s="124"/>
      <c r="AE117" s="127"/>
    </row>
    <row r="118" spans="1:32" outlineLevel="1" x14ac:dyDescent="0.3">
      <c r="B118" s="124"/>
      <c r="C118" s="124"/>
      <c r="D118" s="124"/>
      <c r="E118" s="124"/>
      <c r="F118" s="124"/>
      <c r="G118" s="124"/>
      <c r="H118" s="124"/>
      <c r="I118" s="124"/>
      <c r="J118" s="124"/>
      <c r="K118" s="124"/>
      <c r="L118" s="141"/>
      <c r="M118" s="124"/>
      <c r="N118" s="124"/>
      <c r="O118" s="124"/>
      <c r="P118" s="124"/>
      <c r="Q118" s="124"/>
      <c r="R118" s="124"/>
      <c r="S118" s="124"/>
      <c r="T118" s="124"/>
      <c r="U118" s="124"/>
      <c r="V118" s="124"/>
      <c r="W118" s="125"/>
      <c r="X118" s="126"/>
      <c r="Y118" s="126"/>
      <c r="Z118" s="124"/>
      <c r="AA118" s="124"/>
      <c r="AB118" s="124"/>
      <c r="AC118" s="124"/>
      <c r="AD118" s="124"/>
      <c r="AE118" s="127"/>
    </row>
    <row r="119" spans="1:32" outlineLevel="1" x14ac:dyDescent="0.3">
      <c r="A119" s="131" t="s">
        <v>119</v>
      </c>
      <c r="B119" s="141" t="e">
        <f t="shared" ref="B119:K119" si="208">B121-(B107-B114+B116-B117)</f>
        <v>#VALUE!</v>
      </c>
      <c r="C119" s="141" t="e">
        <f t="shared" si="208"/>
        <v>#VALUE!</v>
      </c>
      <c r="D119" s="141">
        <f t="shared" si="208"/>
        <v>51.921999999999997</v>
      </c>
      <c r="E119" s="141">
        <f t="shared" si="208"/>
        <v>52.326999999999991</v>
      </c>
      <c r="F119" s="141">
        <f t="shared" si="208"/>
        <v>31.347000000000001</v>
      </c>
      <c r="G119" s="141">
        <f t="shared" si="208"/>
        <v>7.0909999999999993</v>
      </c>
      <c r="H119" s="141">
        <f t="shared" si="208"/>
        <v>13.070499999999996</v>
      </c>
      <c r="I119" s="141">
        <f t="shared" si="208"/>
        <v>27.637</v>
      </c>
      <c r="J119" s="141">
        <f t="shared" si="208"/>
        <v>-15.451999999999998</v>
      </c>
      <c r="K119" s="141">
        <f t="shared" si="208"/>
        <v>13.315000000000001</v>
      </c>
      <c r="L119" s="141">
        <f>L121-(L107-L114+L116-L117)</f>
        <v>-2.2894999999999968</v>
      </c>
      <c r="M119" s="148">
        <v>0</v>
      </c>
      <c r="N119" s="148">
        <f t="shared" ref="N119" si="209">M119</f>
        <v>0</v>
      </c>
      <c r="O119" s="148">
        <f t="shared" ref="O119" si="210">N119</f>
        <v>0</v>
      </c>
      <c r="P119" s="148">
        <f t="shared" ref="P119" si="211">O119</f>
        <v>0</v>
      </c>
      <c r="Q119" s="148">
        <f t="shared" ref="Q119" si="212">P119</f>
        <v>0</v>
      </c>
      <c r="R119" s="124"/>
      <c r="S119" s="124"/>
      <c r="T119" s="124"/>
      <c r="U119" s="124"/>
      <c r="V119" s="124"/>
      <c r="W119" s="125"/>
      <c r="X119" s="126"/>
      <c r="Y119" s="126"/>
      <c r="Z119" s="124"/>
      <c r="AA119" s="124"/>
      <c r="AB119" s="124"/>
      <c r="AC119" s="124"/>
      <c r="AD119" s="124"/>
      <c r="AE119" s="127"/>
    </row>
    <row r="120" spans="1:32" outlineLevel="1" x14ac:dyDescent="0.3">
      <c r="B120" s="124"/>
      <c r="C120" s="124"/>
      <c r="D120" s="124"/>
      <c r="E120" s="124"/>
      <c r="F120" s="124"/>
      <c r="G120" s="124"/>
      <c r="H120" s="124"/>
      <c r="I120" s="124"/>
      <c r="J120" s="124"/>
      <c r="K120" s="124"/>
      <c r="L120" s="141"/>
      <c r="M120" s="216"/>
      <c r="N120" s="216"/>
      <c r="O120" s="216"/>
      <c r="P120" s="124"/>
      <c r="Q120" s="124"/>
      <c r="R120" s="124"/>
      <c r="S120" s="124"/>
      <c r="T120" s="124"/>
      <c r="U120" s="124"/>
      <c r="V120" s="124"/>
      <c r="W120" s="125"/>
      <c r="X120" s="126"/>
      <c r="Y120" s="126"/>
      <c r="Z120" s="124"/>
      <c r="AA120" s="124"/>
      <c r="AB120" s="124"/>
      <c r="AC120" s="124"/>
      <c r="AD120" s="124"/>
      <c r="AE120" s="127"/>
    </row>
    <row r="121" spans="1:32" outlineLevel="1" x14ac:dyDescent="0.3">
      <c r="A121" s="79" t="s">
        <v>120</v>
      </c>
      <c r="B121" s="140">
        <f>CHOOSE(IF($B$1=2,2,1),'GAAP-IFRS'!E19,IF('Broker Actual'!E19="-",'GAAP-IFRS'!E19,'Broker Actual'!E19))</f>
        <v>49.58</v>
      </c>
      <c r="C121" s="140">
        <f>CHOOSE(IF($B$1=2,2,1),'GAAP-IFRS'!F19,IF('Broker Actual'!F19="-",'GAAP-IFRS'!F19,'Broker Actual'!F19))</f>
        <v>106.4765</v>
      </c>
      <c r="D121" s="140">
        <f>CHOOSE(IF($B$1=2,2,1),'GAAP-IFRS'!G19,IF('Broker Actual'!G19="-",'GAAP-IFRS'!G19,'Broker Actual'!G19))</f>
        <v>100.962</v>
      </c>
      <c r="E121" s="140">
        <f>CHOOSE(IF($B$1=2,2,1),'GAAP-IFRS'!H19,IF('Broker Actual'!H19="-",'GAAP-IFRS'!H19,'Broker Actual'!H19))</f>
        <v>106.19199999999999</v>
      </c>
      <c r="F121" s="140">
        <f>CHOOSE(IF($B$1=2,2,1),'GAAP-IFRS'!I19,IF('Broker Actual'!I19="-",'GAAP-IFRS'!I19,'Broker Actual'!I19))</f>
        <v>46.856000000000002</v>
      </c>
      <c r="G121" s="140">
        <f>CHOOSE(IF($B$1=2,2,1),'GAAP-IFRS'!J19,IF('Broker Actual'!J19="-",'GAAP-IFRS'!J19,'Broker Actual'!J19))</f>
        <v>-15.624000000000001</v>
      </c>
      <c r="H121" s="140">
        <f>CHOOSE(IF($B$1=2,2,1),'GAAP-IFRS'!K19,IF('Broker Actual'!K19="-",'GAAP-IFRS'!K19,'Broker Actual'!K19))</f>
        <v>29.154</v>
      </c>
      <c r="I121" s="140">
        <f>CHOOSE(IF($B$1=2,2,1),'GAAP-IFRS'!L19,IF('Broker Actual'!L19="-",'GAAP-IFRS'!L19,'Broker Actual'!L19))</f>
        <v>36.093000000000004</v>
      </c>
      <c r="J121" s="140">
        <f>CHOOSE(IF($B$1=2,2,1),'GAAP-IFRS'!M19,IF('Broker Actual'!M19="-",'GAAP-IFRS'!M19,'Broker Actual'!M19))</f>
        <v>37.524000000000001</v>
      </c>
      <c r="K121" s="140">
        <f>CHOOSE(IF($B$1=2,2,1),'GAAP-IFRS'!N19,IF('Broker Actual'!N19="-",'GAAP-IFRS'!N19,'Broker Actual'!N19))</f>
        <v>10.351000000000001</v>
      </c>
      <c r="L121" s="140">
        <f>CHOOSE(IF($B$1=2,2,1),'GAAP-IFRS'!O19,IF('Broker Actual'!O19="-",'GAAP-IFRS'!O19,'Broker Actual'!O19))</f>
        <v>-64.841499999999996</v>
      </c>
      <c r="M121" s="141">
        <f>M107-M114+M116-M117+M119</f>
        <v>43.492481727999973</v>
      </c>
      <c r="N121" s="141">
        <f t="shared" ref="N121:Q121" si="213">N107-N114+N116-N117+N119</f>
        <v>50.003514555519928</v>
      </c>
      <c r="O121" s="141">
        <f t="shared" si="213"/>
        <v>51.475058786367981</v>
      </c>
      <c r="P121" s="141">
        <f t="shared" si="213"/>
        <v>79.79288924485536</v>
      </c>
      <c r="Q121" s="141">
        <f t="shared" si="213"/>
        <v>87.999602740840828</v>
      </c>
      <c r="R121" s="124"/>
      <c r="S121" s="124"/>
      <c r="T121" s="124"/>
      <c r="U121" s="124"/>
      <c r="V121" s="124"/>
      <c r="W121" s="125"/>
      <c r="X121" s="126" t="s">
        <v>91</v>
      </c>
      <c r="Y121" s="126" t="s">
        <v>121</v>
      </c>
      <c r="Z121" s="124" cm="1">
        <f t="array" ref="Z121">_xll.FDSC("--",$A$1,""&amp;$X121&amp;"("&amp;$Y121&amp;","&amp;D$2&amp;",ANNUAL_ROLL,+1,0,,,'CURRENCY="&amp;$E$1&amp;"')")</f>
        <v>54.158000000000001</v>
      </c>
      <c r="AA121" s="124" cm="1">
        <f t="array" ref="AA121">_xll.FDSC("--",$A$1,""&amp;$X121&amp;"("&amp;$Y121&amp;","&amp;D$2&amp;",ANNUAL_ROLL,+2,0,,,'CURRENCY="&amp;$E$1&amp;"')")</f>
        <v>49.351999999999997</v>
      </c>
      <c r="AB121" s="124" t="str" cm="1">
        <f t="array" ref="AB121">_xll.FDSC("--",$A$1,""&amp;$X121&amp;"("&amp;$Y121&amp;","&amp;D$2&amp;",ANNUAL_ROLL,+3,0,,,'CURRENCY="&amp;$E$1&amp;"')")</f>
        <v>--</v>
      </c>
      <c r="AC121" s="124"/>
      <c r="AD121" s="124"/>
      <c r="AE121" s="127"/>
    </row>
    <row r="122" spans="1:32" s="118" customFormat="1" outlineLevel="1" x14ac:dyDescent="0.3">
      <c r="A122" s="129" t="s">
        <v>87</v>
      </c>
      <c r="B122" s="149"/>
      <c r="C122" s="130">
        <f>C121/B121-1</f>
        <v>1.147569584509883</v>
      </c>
      <c r="D122" s="130">
        <f t="shared" ref="D122:L122" si="214">D121/C121-1</f>
        <v>-5.1790770733448177E-2</v>
      </c>
      <c r="E122" s="130">
        <f t="shared" si="214"/>
        <v>5.1801667954279651E-2</v>
      </c>
      <c r="F122" s="130">
        <f t="shared" si="214"/>
        <v>-0.55876148862437847</v>
      </c>
      <c r="G122" s="130">
        <f t="shared" si="214"/>
        <v>-1.3334471572477378</v>
      </c>
      <c r="H122" s="130">
        <f t="shared" si="214"/>
        <v>-2.8659754224270353</v>
      </c>
      <c r="I122" s="130">
        <f t="shared" si="214"/>
        <v>0.23801193661247178</v>
      </c>
      <c r="J122" s="130">
        <f t="shared" si="214"/>
        <v>3.9647577092510877E-2</v>
      </c>
      <c r="K122" s="130">
        <f t="shared" si="214"/>
        <v>-0.72414987741178982</v>
      </c>
      <c r="L122" s="130">
        <f t="shared" si="214"/>
        <v>-7.2642739831900291</v>
      </c>
      <c r="M122" s="130">
        <f>M121/L121-1</f>
        <v>-1.6707507032995839</v>
      </c>
      <c r="N122" s="130">
        <f>N121/M121-1</f>
        <v>0.14970478962869183</v>
      </c>
      <c r="O122" s="130">
        <f t="shared" ref="O122:Q122" si="215">O121/N121-1</f>
        <v>2.942881603280445E-2</v>
      </c>
      <c r="P122" s="130">
        <f t="shared" si="215"/>
        <v>0.55012720968444473</v>
      </c>
      <c r="Q122" s="130">
        <f t="shared" si="215"/>
        <v>0.10285018594579332</v>
      </c>
      <c r="R122" s="149"/>
      <c r="S122" s="149"/>
      <c r="T122" s="149"/>
      <c r="U122" s="149"/>
      <c r="V122" s="149"/>
      <c r="W122" s="150"/>
      <c r="X122" s="151"/>
      <c r="Y122" s="151"/>
      <c r="Z122" s="149"/>
      <c r="AA122" s="149"/>
      <c r="AB122" s="149"/>
      <c r="AC122" s="149"/>
      <c r="AD122" s="149"/>
      <c r="AE122" s="152"/>
      <c r="AF122" s="153"/>
    </row>
    <row r="123" spans="1:32" outlineLevel="1" x14ac:dyDescent="0.3">
      <c r="A123" s="129" t="s">
        <v>122</v>
      </c>
      <c r="B123" s="140">
        <f>CHOOSE(IF($B$1=2,2,1),'GAAP-IFRS'!E21,IF('Broker Actual'!E21="-",'GAAP-IFRS'!E21,'Broker Actual'!E21))</f>
        <v>19.422999999999998</v>
      </c>
      <c r="C123" s="140">
        <f>CHOOSE(IF($B$1=2,2,1),'GAAP-IFRS'!F21,IF('Broker Actual'!F21="-",'GAAP-IFRS'!F21,'Broker Actual'!F21))</f>
        <v>40.890999999999998</v>
      </c>
      <c r="D123" s="140">
        <f>CHOOSE(IF($B$1=2,2,1),'GAAP-IFRS'!G21,IF('Broker Actual'!G21="-",'GAAP-IFRS'!G21,'Broker Actual'!G21))</f>
        <v>38.298000000000002</v>
      </c>
      <c r="E123" s="140">
        <f>CHOOSE(IF($B$1=2,2,1),'GAAP-IFRS'!H21,IF('Broker Actual'!H21="-",'GAAP-IFRS'!H21,'Broker Actual'!H21))</f>
        <v>40.331000000000003</v>
      </c>
      <c r="F123" s="140">
        <f>CHOOSE(IF($B$1=2,2,1),'GAAP-IFRS'!I21,IF('Broker Actual'!I21="-",'GAAP-IFRS'!I21,'Broker Actual'!I21))</f>
        <v>17.835000000000001</v>
      </c>
      <c r="G123" s="140">
        <f>CHOOSE(IF($B$1=2,2,1),'GAAP-IFRS'!J21,IF('Broker Actual'!J21="-",'GAAP-IFRS'!J21,'Broker Actual'!J21))</f>
        <v>-8.0310000000000006</v>
      </c>
      <c r="H123" s="140">
        <f>CHOOSE(IF($B$1=2,2,1),'GAAP-IFRS'!K21,IF('Broker Actual'!K21="-",'GAAP-IFRS'!K21,'Broker Actual'!K21))</f>
        <v>9.1769999999999996</v>
      </c>
      <c r="I123" s="140">
        <f>CHOOSE(IF($B$1=2,2,1),'GAAP-IFRS'!L21,IF('Broker Actual'!L21="-",'GAAP-IFRS'!L21,'Broker Actual'!L21))</f>
        <v>9.5169999999999995</v>
      </c>
      <c r="J123" s="140">
        <f>CHOOSE(IF($B$1=2,2,1),'GAAP-IFRS'!M21,IF('Broker Actual'!M21="-",'GAAP-IFRS'!M21,'Broker Actual'!M21))</f>
        <v>9.3480000000000008</v>
      </c>
      <c r="K123" s="140">
        <f>CHOOSE(IF($B$1=2,2,1),'GAAP-IFRS'!N21,IF('Broker Actual'!N21="-",'GAAP-IFRS'!N21,'Broker Actual'!N21))</f>
        <v>3.9910000000000001</v>
      </c>
      <c r="L123" s="140">
        <f>CHOOSE(IF($B$1=2,2,1),'GAAP-IFRS'!O21,IF('Broker Actual'!O21="-",'GAAP-IFRS'!O21,'Broker Actual'!O21))</f>
        <v>-13.486499999999999</v>
      </c>
      <c r="M123" s="141">
        <f>M121*M124</f>
        <v>11.308045249279994</v>
      </c>
      <c r="N123" s="141">
        <f t="shared" ref="N123:Q123" si="216">N121*N124</f>
        <v>13.000913784435182</v>
      </c>
      <c r="O123" s="141">
        <f>O121*O124</f>
        <v>13.383515284455676</v>
      </c>
      <c r="P123" s="141">
        <f t="shared" si="216"/>
        <v>20.746151203662393</v>
      </c>
      <c r="Q123" s="141">
        <f t="shared" si="216"/>
        <v>22.879896712618617</v>
      </c>
      <c r="R123" s="124"/>
      <c r="S123" s="124"/>
      <c r="T123" s="124"/>
      <c r="U123" s="124"/>
      <c r="V123" s="124"/>
      <c r="W123" s="125"/>
      <c r="X123" s="126" t="s">
        <v>91</v>
      </c>
      <c r="Y123" s="126" t="s">
        <v>123</v>
      </c>
      <c r="Z123" s="124" cm="1">
        <f t="array" ref="Z123">_xll.FDSC("--",$A$1,""&amp;$X123&amp;"("&amp;$Y123&amp;","&amp;D$2&amp;",ANNUAL_ROLL,+1,0,,,'CURRENCY="&amp;$E$1&amp;"')")</f>
        <v>13.954000000000001</v>
      </c>
      <c r="AA123" s="124" cm="1">
        <f t="array" ref="AA123">_xll.FDSC("--",$A$1,""&amp;$X123&amp;"("&amp;$Y123&amp;","&amp;D$2&amp;",ANNUAL_ROLL,+2,0,,,'CURRENCY="&amp;$E$1&amp;"')")</f>
        <v>14.805999999999999</v>
      </c>
      <c r="AB123" s="124" t="str" cm="1">
        <f t="array" ref="AB123">_xll.FDSC("--",$A$1,""&amp;$X123&amp;"("&amp;$Y123&amp;","&amp;D$2&amp;",ANNUAL_ROLL,+3,0,,,'CURRENCY="&amp;$E$1&amp;"')")</f>
        <v>--</v>
      </c>
      <c r="AC123" s="124"/>
      <c r="AD123" s="124"/>
      <c r="AE123" s="127"/>
    </row>
    <row r="124" spans="1:32" outlineLevel="1" x14ac:dyDescent="0.3">
      <c r="A124" s="129" t="s">
        <v>124</v>
      </c>
      <c r="B124" s="130">
        <f>B123/B121</f>
        <v>0.39175070592981037</v>
      </c>
      <c r="C124" s="130">
        <f t="shared" ref="C124:K124" si="217">C123/C121</f>
        <v>0.38403779237672159</v>
      </c>
      <c r="D124" s="130">
        <f t="shared" si="217"/>
        <v>0.3793308373447436</v>
      </c>
      <c r="E124" s="130">
        <f t="shared" si="217"/>
        <v>0.37979320476118733</v>
      </c>
      <c r="F124" s="130">
        <f t="shared" si="217"/>
        <v>0.38063428376301861</v>
      </c>
      <c r="G124" s="130">
        <f t="shared" si="217"/>
        <v>0.51401689708141318</v>
      </c>
      <c r="H124" s="130">
        <f t="shared" si="217"/>
        <v>0.31477670302531385</v>
      </c>
      <c r="I124" s="130">
        <f t="shared" si="217"/>
        <v>0.26367993793810429</v>
      </c>
      <c r="J124" s="130">
        <f t="shared" si="217"/>
        <v>0.24912056283978257</v>
      </c>
      <c r="K124" s="130">
        <f t="shared" si="217"/>
        <v>0.38556661192155345</v>
      </c>
      <c r="L124" s="130">
        <f>L123/L121</f>
        <v>0.20799179537796011</v>
      </c>
      <c r="M124" s="123">
        <v>0.26</v>
      </c>
      <c r="N124" s="123">
        <v>0.26</v>
      </c>
      <c r="O124" s="123">
        <v>0.26</v>
      </c>
      <c r="P124" s="123">
        <f t="shared" ref="P124:Q124" si="218">O124</f>
        <v>0.26</v>
      </c>
      <c r="Q124" s="123">
        <f t="shared" si="218"/>
        <v>0.26</v>
      </c>
      <c r="R124" s="124"/>
      <c r="S124" s="124"/>
      <c r="T124" s="124"/>
      <c r="U124" s="124"/>
      <c r="V124" s="124"/>
      <c r="W124" s="125"/>
      <c r="X124" s="126"/>
      <c r="Y124" s="126"/>
      <c r="Z124" s="124"/>
      <c r="AA124" s="124"/>
      <c r="AB124" s="124"/>
      <c r="AC124" s="124"/>
      <c r="AD124" s="124"/>
      <c r="AE124" s="127"/>
    </row>
    <row r="125" spans="1:32" outlineLevel="1" x14ac:dyDescent="0.3">
      <c r="A125" s="129"/>
      <c r="B125" s="154"/>
      <c r="C125" s="141"/>
      <c r="D125" s="141"/>
      <c r="E125" s="141"/>
      <c r="F125" s="141"/>
      <c r="G125" s="141"/>
      <c r="H125" s="141"/>
      <c r="I125" s="141"/>
      <c r="J125" s="141"/>
      <c r="K125" s="141"/>
      <c r="L125" s="141"/>
      <c r="M125" s="124"/>
      <c r="N125" s="124"/>
      <c r="O125" s="123"/>
      <c r="P125" s="123"/>
      <c r="Q125" s="123"/>
      <c r="R125" s="124"/>
      <c r="S125" s="124"/>
      <c r="T125" s="124"/>
      <c r="U125" s="124"/>
      <c r="V125" s="124"/>
      <c r="W125" s="125"/>
      <c r="X125" s="126"/>
      <c r="Y125" s="126"/>
      <c r="Z125" s="124"/>
      <c r="AA125" s="124"/>
      <c r="AB125" s="124"/>
      <c r="AC125" s="124"/>
      <c r="AD125" s="124"/>
      <c r="AE125" s="127"/>
    </row>
    <row r="126" spans="1:32" outlineLevel="1" x14ac:dyDescent="0.3">
      <c r="A126" s="79" t="s">
        <v>125</v>
      </c>
      <c r="B126" s="141">
        <f t="shared" ref="B126:L126" si="219">B128-(B121-B123)</f>
        <v>-0.32199999999999918</v>
      </c>
      <c r="C126" s="141">
        <f t="shared" si="219"/>
        <v>-0.12749999999999773</v>
      </c>
      <c r="D126" s="141">
        <f t="shared" si="219"/>
        <v>0</v>
      </c>
      <c r="E126" s="141">
        <f t="shared" si="219"/>
        <v>0</v>
      </c>
      <c r="F126" s="141">
        <f t="shared" si="219"/>
        <v>0</v>
      </c>
      <c r="G126" s="141">
        <f t="shared" si="219"/>
        <v>0.70000000000000018</v>
      </c>
      <c r="H126" s="141">
        <f t="shared" si="219"/>
        <v>-2.2519999999999989</v>
      </c>
      <c r="I126" s="141">
        <f t="shared" si="219"/>
        <v>0</v>
      </c>
      <c r="J126" s="141">
        <f t="shared" si="219"/>
        <v>-0.59600000000000364</v>
      </c>
      <c r="K126" s="141">
        <f t="shared" si="219"/>
        <v>0.88199999999999878</v>
      </c>
      <c r="L126" s="141">
        <f t="shared" si="219"/>
        <v>-3.2480000000000047</v>
      </c>
      <c r="M126" s="148">
        <v>0</v>
      </c>
      <c r="N126" s="148">
        <f t="shared" ref="N126" si="220">M126</f>
        <v>0</v>
      </c>
      <c r="O126" s="148">
        <f t="shared" ref="O126" si="221">N126</f>
        <v>0</v>
      </c>
      <c r="P126" s="148">
        <f t="shared" ref="P126" si="222">O126</f>
        <v>0</v>
      </c>
      <c r="Q126" s="148">
        <f t="shared" ref="Q126" si="223">P126</f>
        <v>0</v>
      </c>
      <c r="R126" s="124"/>
      <c r="S126" s="124"/>
      <c r="T126" s="124"/>
      <c r="U126" s="124"/>
      <c r="V126" s="124"/>
      <c r="W126" s="125"/>
      <c r="X126" s="126"/>
      <c r="Y126" s="126"/>
      <c r="Z126" s="124"/>
      <c r="AA126" s="124"/>
      <c r="AB126" s="124"/>
      <c r="AC126" s="124"/>
      <c r="AD126" s="124"/>
      <c r="AE126" s="127"/>
    </row>
    <row r="127" spans="1:32" outlineLevel="1" x14ac:dyDescent="0.3">
      <c r="A127" s="129"/>
      <c r="B127" s="154"/>
      <c r="C127" s="141"/>
      <c r="D127" s="141"/>
      <c r="E127" s="141"/>
      <c r="F127" s="141"/>
      <c r="G127" s="141"/>
      <c r="H127" s="141"/>
      <c r="I127" s="141"/>
      <c r="J127" s="141"/>
      <c r="K127" s="141"/>
      <c r="L127" s="141"/>
      <c r="M127" s="216"/>
      <c r="N127" s="216"/>
      <c r="O127" s="219"/>
      <c r="P127" s="123"/>
      <c r="Q127" s="123"/>
      <c r="R127" s="124"/>
      <c r="S127" s="124"/>
      <c r="T127" s="124"/>
      <c r="U127" s="124"/>
      <c r="V127" s="124"/>
      <c r="W127" s="125"/>
      <c r="X127" s="126"/>
      <c r="Y127" s="126"/>
      <c r="Z127" s="124"/>
      <c r="AA127" s="124"/>
      <c r="AB127" s="124"/>
      <c r="AC127" s="124"/>
      <c r="AD127" s="124"/>
      <c r="AE127" s="127"/>
    </row>
    <row r="128" spans="1:32" s="118" customFormat="1" outlineLevel="1" x14ac:dyDescent="0.3">
      <c r="A128" s="118" t="s">
        <v>126</v>
      </c>
      <c r="B128" s="155">
        <f>CHOOSE(IF($B$1=2,2,1),'GAAP-IFRS'!E22,IF('Broker Actual'!E22="-",'GAAP-IFRS'!E22,'Broker Actual'!E22))</f>
        <v>29.835000000000001</v>
      </c>
      <c r="C128" s="155">
        <f>CHOOSE(IF($B$1=2,2,1),'GAAP-IFRS'!F22,IF('Broker Actual'!F22="-",'GAAP-IFRS'!F22,'Broker Actual'!F22))</f>
        <v>65.457999999999998</v>
      </c>
      <c r="D128" s="155">
        <f>CHOOSE(IF($B$1=2,2,1),'GAAP-IFRS'!G22,IF('Broker Actual'!G22="-",'GAAP-IFRS'!G22,'Broker Actual'!G22))</f>
        <v>62.664000000000001</v>
      </c>
      <c r="E128" s="155">
        <f>CHOOSE(IF($B$1=2,2,1),'GAAP-IFRS'!H22,IF('Broker Actual'!H22="-",'GAAP-IFRS'!H22,'Broker Actual'!H22))</f>
        <v>65.861000000000004</v>
      </c>
      <c r="F128" s="155">
        <f>CHOOSE(IF($B$1=2,2,1),'GAAP-IFRS'!I22,IF('Broker Actual'!I22="-",'GAAP-IFRS'!I22,'Broker Actual'!I22))</f>
        <v>29.021000000000001</v>
      </c>
      <c r="G128" s="155">
        <f>CHOOSE(IF($B$1=2,2,1),'GAAP-IFRS'!J22,IF('Broker Actual'!J22="-",'GAAP-IFRS'!J22,'Broker Actual'!J22))</f>
        <v>-6.8929999999999998</v>
      </c>
      <c r="H128" s="155">
        <f>CHOOSE(IF($B$1=2,2,1),'GAAP-IFRS'!K22,IF('Broker Actual'!K22="-",'GAAP-IFRS'!K22,'Broker Actual'!K22))</f>
        <v>17.725000000000001</v>
      </c>
      <c r="I128" s="155">
        <f>CHOOSE(IF($B$1=2,2,1),'GAAP-IFRS'!L22,IF('Broker Actual'!L22="-",'GAAP-IFRS'!L22,'Broker Actual'!L22))</f>
        <v>26.576000000000001</v>
      </c>
      <c r="J128" s="155">
        <f>CHOOSE(IF($B$1=2,2,1),'GAAP-IFRS'!M22,IF('Broker Actual'!M22="-",'GAAP-IFRS'!M22,'Broker Actual'!M22))</f>
        <v>27.58</v>
      </c>
      <c r="K128" s="155">
        <f>CHOOSE(IF($B$1=2,2,1),'GAAP-IFRS'!N22,IF('Broker Actual'!N22="-",'GAAP-IFRS'!N22,'Broker Actual'!N22))</f>
        <v>7.242</v>
      </c>
      <c r="L128" s="155">
        <f>CHOOSE(IF($B$1=2,2,1),'GAAP-IFRS'!O22,IF('Broker Actual'!O22="-",'GAAP-IFRS'!O22,'Broker Actual'!O22))</f>
        <v>-54.603000000000002</v>
      </c>
      <c r="M128" s="156">
        <f>M121-M123+M126</f>
        <v>32.184436478719981</v>
      </c>
      <c r="N128" s="156">
        <f>N121-N123+N126</f>
        <v>37.002600771084744</v>
      </c>
      <c r="O128" s="156">
        <f>O121-O123+O126</f>
        <v>38.091543501912305</v>
      </c>
      <c r="P128" s="156">
        <f>P121-P123+P126</f>
        <v>59.046738041192967</v>
      </c>
      <c r="Q128" s="156">
        <f>Q121-Q123+Q126</f>
        <v>65.119706028222211</v>
      </c>
      <c r="R128" s="157"/>
      <c r="S128" s="157"/>
      <c r="T128" s="157"/>
      <c r="U128" s="157"/>
      <c r="V128" s="157"/>
      <c r="W128" s="158"/>
      <c r="X128" s="159" t="s">
        <v>91</v>
      </c>
      <c r="Y128" s="159" t="s">
        <v>127</v>
      </c>
      <c r="Z128" s="157" cm="1">
        <f t="array" ref="Z128">_xll.FDSC("--",$A$1,""&amp;$X128&amp;"("&amp;$Y128&amp;","&amp;D$2&amp;",ANNUAL_ROLL,+1,0,,,'CURRENCY="&amp;$E$1&amp;"')")</f>
        <v>33.014000000000003</v>
      </c>
      <c r="AA128" s="157" t="e" cm="1">
        <f t="array" ref="AA128">_xll.FDSC("--",$A$1,""&amp;$X128&amp;"("&amp;$Y128&amp;","&amp;#REF!&amp;",ANNUAL_ROLL,+2,0,,,'CURRENCY="&amp;$E$1&amp;"')")</f>
        <v>#VALUE!</v>
      </c>
      <c r="AB128" s="157" t="str" cm="1">
        <f t="array" ref="AB128">_xll.FDSC("--",$A$1,""&amp;$X128&amp;"("&amp;$Y128&amp;","&amp;D$2&amp;",ANNUAL_ROLL,+3,0,,,'CURRENCY="&amp;$E$1&amp;"')")</f>
        <v>--</v>
      </c>
      <c r="AC128" s="157"/>
      <c r="AD128" s="157"/>
      <c r="AE128" s="160"/>
    </row>
    <row r="129" spans="1:32" s="118" customFormat="1" outlineLevel="1" x14ac:dyDescent="0.3">
      <c r="A129" s="129" t="s">
        <v>87</v>
      </c>
      <c r="B129" s="149"/>
      <c r="C129" s="130">
        <f>C128/B128-1</f>
        <v>1.1940003351768058</v>
      </c>
      <c r="D129" s="130">
        <f t="shared" ref="D129:L129" si="224">D128/C128-1</f>
        <v>-4.2683858351920234E-2</v>
      </c>
      <c r="E129" s="130">
        <f t="shared" si="224"/>
        <v>5.1018128430997178E-2</v>
      </c>
      <c r="F129" s="130">
        <f t="shared" si="224"/>
        <v>-0.5593598639559072</v>
      </c>
      <c r="G129" s="130">
        <f t="shared" si="224"/>
        <v>-1.2375176596257882</v>
      </c>
      <c r="H129" s="130">
        <f t="shared" si="224"/>
        <v>-3.5714492963876401</v>
      </c>
      <c r="I129" s="130">
        <f t="shared" si="224"/>
        <v>0.49935119887165014</v>
      </c>
      <c r="J129" s="130">
        <f t="shared" si="224"/>
        <v>3.7778446718844005E-2</v>
      </c>
      <c r="K129" s="130">
        <f t="shared" si="224"/>
        <v>-0.73741841914430739</v>
      </c>
      <c r="L129" s="130">
        <f t="shared" si="224"/>
        <v>-8.5397680198840114</v>
      </c>
      <c r="M129" s="130">
        <f>M128/L128-1</f>
        <v>-1.5894261575136892</v>
      </c>
      <c r="N129" s="130">
        <f>N128/M128-1</f>
        <v>0.1497047896286916</v>
      </c>
      <c r="O129" s="130">
        <f t="shared" ref="O129:Q129" si="225">O128/N128-1</f>
        <v>2.942881603280445E-2</v>
      </c>
      <c r="P129" s="130">
        <f t="shared" si="225"/>
        <v>0.55012720968444473</v>
      </c>
      <c r="Q129" s="130">
        <f t="shared" si="225"/>
        <v>0.10285018594579332</v>
      </c>
      <c r="R129" s="149"/>
      <c r="S129" s="149"/>
      <c r="T129" s="149"/>
      <c r="U129" s="149"/>
      <c r="V129" s="149"/>
      <c r="W129" s="150"/>
      <c r="X129" s="151"/>
      <c r="Y129" s="151"/>
      <c r="Z129" s="149"/>
      <c r="AA129" s="149"/>
      <c r="AB129" s="149"/>
      <c r="AC129" s="149"/>
      <c r="AD129" s="149"/>
      <c r="AE129" s="152"/>
      <c r="AF129" s="153"/>
    </row>
    <row r="130" spans="1:32" s="118" customFormat="1" outlineLevel="1" x14ac:dyDescent="0.3">
      <c r="B130" s="157"/>
      <c r="C130" s="157"/>
      <c r="D130" s="157"/>
      <c r="E130" s="157"/>
      <c r="F130" s="157"/>
      <c r="G130" s="157"/>
      <c r="H130" s="157"/>
      <c r="I130" s="157"/>
      <c r="J130" s="157"/>
      <c r="K130" s="157"/>
      <c r="L130" s="157"/>
      <c r="M130" s="157"/>
      <c r="N130" s="157"/>
      <c r="O130" s="157"/>
      <c r="P130" s="157"/>
      <c r="Q130" s="157"/>
      <c r="R130" s="157"/>
      <c r="S130" s="157"/>
      <c r="T130" s="157"/>
      <c r="U130" s="157"/>
      <c r="V130" s="157"/>
      <c r="W130" s="158"/>
      <c r="X130" s="159"/>
      <c r="Y130" s="159"/>
      <c r="Z130" s="157"/>
      <c r="AA130" s="157"/>
      <c r="AB130" s="157"/>
      <c r="AC130" s="157"/>
      <c r="AD130" s="157"/>
      <c r="AE130" s="160"/>
    </row>
    <row r="131" spans="1:32" s="118" customFormat="1" outlineLevel="1" x14ac:dyDescent="0.3">
      <c r="A131" s="79" t="s">
        <v>128</v>
      </c>
      <c r="B131" s="137"/>
      <c r="C131" s="161"/>
      <c r="D131" s="161"/>
      <c r="E131" s="157"/>
      <c r="F131" s="157"/>
      <c r="G131" s="157"/>
      <c r="H131" s="157"/>
      <c r="I131" s="157"/>
      <c r="J131" s="157"/>
      <c r="K131" s="157"/>
      <c r="L131" s="157"/>
      <c r="M131" s="162">
        <f>'PE Calculation'!F5</f>
        <v>15.5</v>
      </c>
      <c r="N131" s="162">
        <f>M131</f>
        <v>15.5</v>
      </c>
      <c r="O131" s="162">
        <f>N131</f>
        <v>15.5</v>
      </c>
      <c r="P131" s="162">
        <v>15</v>
      </c>
      <c r="Q131" s="162">
        <v>15</v>
      </c>
      <c r="R131" s="157"/>
      <c r="S131" s="157"/>
      <c r="T131" s="157"/>
      <c r="U131" s="157"/>
      <c r="V131" s="157"/>
      <c r="W131" s="158"/>
      <c r="X131" s="159"/>
      <c r="Y131" s="159"/>
      <c r="Z131" s="157"/>
      <c r="AA131" s="157"/>
      <c r="AB131" s="157"/>
      <c r="AC131" s="157"/>
      <c r="AD131" s="157"/>
      <c r="AE131" s="160"/>
    </row>
    <row r="132" spans="1:32" s="224" customFormat="1" outlineLevel="1" x14ac:dyDescent="0.3">
      <c r="A132" s="104" t="s">
        <v>129</v>
      </c>
      <c r="B132" s="231"/>
      <c r="C132" s="220"/>
      <c r="D132" s="220"/>
      <c r="E132" s="220"/>
      <c r="F132" s="220"/>
      <c r="G132" s="220"/>
      <c r="H132" s="220"/>
      <c r="I132" s="220"/>
      <c r="J132" s="220"/>
      <c r="K132" s="220"/>
      <c r="L132" s="220"/>
      <c r="M132" s="360">
        <f>M137*M131</f>
        <v>56.688496070472688</v>
      </c>
      <c r="N132" s="360">
        <f t="shared" ref="N132:Q132" si="226">N137*N131</f>
        <v>65.924173787564783</v>
      </c>
      <c r="O132" s="360">
        <f t="shared" si="226"/>
        <v>68.653363288330326</v>
      </c>
      <c r="P132" s="226">
        <f t="shared" si="226"/>
        <v>102.98849658347611</v>
      </c>
      <c r="Q132" s="226">
        <f t="shared" si="226"/>
        <v>113.58088260736433</v>
      </c>
      <c r="R132" s="220"/>
      <c r="S132" s="220"/>
      <c r="T132" s="220"/>
      <c r="U132" s="220"/>
      <c r="V132" s="220"/>
      <c r="W132" s="221"/>
      <c r="X132" s="222"/>
      <c r="Y132" s="222"/>
      <c r="Z132" s="220"/>
      <c r="AA132" s="220"/>
      <c r="AB132" s="220"/>
      <c r="AC132" s="220"/>
      <c r="AD132" s="220"/>
      <c r="AE132" s="223"/>
    </row>
    <row r="133" spans="1:32" s="118" customFormat="1" outlineLevel="1" x14ac:dyDescent="0.3">
      <c r="A133" s="79" t="s">
        <v>130</v>
      </c>
      <c r="B133" s="157"/>
      <c r="C133" s="157"/>
      <c r="D133" s="157"/>
      <c r="E133" s="157"/>
      <c r="F133" s="157"/>
      <c r="G133" s="157"/>
      <c r="H133" s="157"/>
      <c r="I133" s="157"/>
      <c r="J133" s="157"/>
      <c r="K133" s="157"/>
      <c r="L133" s="157"/>
      <c r="M133" s="163">
        <f>-M244/M132</f>
        <v>3.7498656434522742E-2</v>
      </c>
      <c r="N133" s="163">
        <f>-N244/N132</f>
        <v>6.2615079659940689E-2</v>
      </c>
      <c r="O133" s="163">
        <f>-O244/O132</f>
        <v>6.1426060587332292E-2</v>
      </c>
      <c r="P133" s="163">
        <f>-P244/P132</f>
        <v>5.802590052227833E-2</v>
      </c>
      <c r="Q133" s="163">
        <f>-Q244/Q132</f>
        <v>6.1561920348694781E-2</v>
      </c>
      <c r="R133" s="157"/>
      <c r="S133" s="157"/>
      <c r="T133" s="157"/>
      <c r="U133" s="157"/>
      <c r="V133" s="157"/>
      <c r="W133" s="158"/>
      <c r="X133" s="159"/>
      <c r="Y133" s="159"/>
      <c r="Z133" s="157"/>
      <c r="AA133" s="157"/>
      <c r="AB133" s="157"/>
      <c r="AC133" s="157"/>
      <c r="AD133" s="157"/>
      <c r="AE133" s="160"/>
    </row>
    <row r="134" spans="1:32" s="224" customFormat="1" outlineLevel="1" x14ac:dyDescent="0.3">
      <c r="A134" s="104" t="s">
        <v>131</v>
      </c>
      <c r="B134" s="220"/>
      <c r="C134" s="220"/>
      <c r="D134" s="220"/>
      <c r="E134" s="220"/>
      <c r="F134" s="220"/>
      <c r="G134" s="220"/>
      <c r="H134" s="220"/>
      <c r="I134" s="220"/>
      <c r="J134" s="220"/>
      <c r="K134" s="220"/>
      <c r="L134" s="220"/>
      <c r="M134" s="234">
        <f>L135-M133</f>
        <v>8.7795013435654781</v>
      </c>
      <c r="N134" s="234">
        <f>M135-N133</f>
        <v>8.7373849203400606</v>
      </c>
      <c r="O134" s="234">
        <f>N135-O133</f>
        <v>8.6385739394126677</v>
      </c>
      <c r="P134" s="234">
        <f t="shared" ref="P134:Q134" si="227">O135-P133</f>
        <v>8.5419740994777218</v>
      </c>
      <c r="Q134" s="234">
        <f t="shared" si="227"/>
        <v>8.5384380796513053</v>
      </c>
      <c r="R134" s="220"/>
      <c r="S134" s="220"/>
      <c r="T134" s="220"/>
      <c r="U134" s="220"/>
      <c r="V134" s="220"/>
      <c r="W134" s="221"/>
      <c r="X134" s="222"/>
      <c r="Y134" s="222"/>
      <c r="Z134" s="220"/>
      <c r="AA134" s="220"/>
      <c r="AB134" s="220"/>
      <c r="AC134" s="220"/>
      <c r="AD134" s="220"/>
      <c r="AE134" s="223"/>
    </row>
    <row r="135" spans="1:32" outlineLevel="1" x14ac:dyDescent="0.3">
      <c r="A135" s="164" t="s">
        <v>132</v>
      </c>
      <c r="B135" s="165">
        <f>CHOOSE(IF($B$1=2,2,1),'GAAP-IFRS'!E24,IF('Broker Actual'!E24="-",'GAAP-IFRS'!E24,'Broker Actual'!E24))</f>
        <v>9.8130000000000006</v>
      </c>
      <c r="C135" s="165">
        <f>CHOOSE(IF($B$1=2,2,1),'GAAP-IFRS'!F24,IF('Broker Actual'!F24="-",'GAAP-IFRS'!F24,'Broker Actual'!F24))</f>
        <v>11.122</v>
      </c>
      <c r="D135" s="165">
        <f>CHOOSE(IF($B$1=2,2,1),'GAAP-IFRS'!G24,IF('Broker Actual'!G24="-",'GAAP-IFRS'!G24,'Broker Actual'!G24))</f>
        <v>11.694000000000001</v>
      </c>
      <c r="E135" s="165">
        <f>CHOOSE(IF($B$1=2,2,1),'GAAP-IFRS'!H24,IF('Broker Actual'!H24="-",'GAAP-IFRS'!H24,'Broker Actual'!H24))</f>
        <v>11.355</v>
      </c>
      <c r="F135" s="165">
        <f>CHOOSE(IF($B$1=2,2,1),'GAAP-IFRS'!I24,IF('Broker Actual'!I24="-",'GAAP-IFRS'!I24,'Broker Actual'!I24))</f>
        <v>10.872999999999999</v>
      </c>
      <c r="G135" s="165">
        <f>CHOOSE(IF($B$1=2,2,1),'GAAP-IFRS'!J24,IF('Broker Actual'!J24="-",'GAAP-IFRS'!J24,'Broker Actual'!J24))</f>
        <v>8.5579999999999998</v>
      </c>
      <c r="H135" s="165">
        <f>CHOOSE(IF($B$1=2,2,1),'GAAP-IFRS'!K24,IF('Broker Actual'!K24="-",'GAAP-IFRS'!K24,'Broker Actual'!K24))</f>
        <v>7.8949999999999996</v>
      </c>
      <c r="I135" s="165">
        <f>CHOOSE(IF($B$1=2,2,1),'GAAP-IFRS'!L24,IF('Broker Actual'!L24="-",'GAAP-IFRS'!L24,'Broker Actual'!L24))</f>
        <v>10.238</v>
      </c>
      <c r="J135" s="165">
        <f>CHOOSE(IF($B$1=2,2,1),'GAAP-IFRS'!M24,IF('Broker Actual'!M24="-",'GAAP-IFRS'!M24,'Broker Actual'!M24))</f>
        <v>9.6940000000000008</v>
      </c>
      <c r="K135" s="165">
        <f>CHOOSE(IF($B$1=2,2,1),'GAAP-IFRS'!N24,IF('Broker Actual'!N24="-",'GAAP-IFRS'!N24,'Broker Actual'!N24))</f>
        <v>8.58</v>
      </c>
      <c r="L135" s="165">
        <f>CHOOSE(IF($B$1=2,2,1),'GAAP-IFRS'!O24,IF('Broker Actual'!O24="-",'GAAP-IFRS'!O24,'Broker Actual'!O24))</f>
        <v>8.8170000000000002</v>
      </c>
      <c r="M135" s="166">
        <v>8.8000000000000007</v>
      </c>
      <c r="N135" s="166">
        <v>8.6999999999999993</v>
      </c>
      <c r="O135" s="166">
        <v>8.6</v>
      </c>
      <c r="P135" s="166">
        <v>8.6</v>
      </c>
      <c r="Q135" s="166">
        <v>8.6</v>
      </c>
      <c r="R135" s="167"/>
      <c r="S135" s="167"/>
      <c r="T135" s="167"/>
      <c r="U135" s="167"/>
      <c r="V135" s="167"/>
      <c r="W135" s="168"/>
      <c r="X135" s="169"/>
      <c r="Y135" s="169"/>
      <c r="Z135" s="167"/>
      <c r="AA135" s="167"/>
      <c r="AB135" s="167"/>
      <c r="AC135" s="167"/>
      <c r="AD135" s="167"/>
      <c r="AE135" s="127"/>
      <c r="AF135" s="170"/>
    </row>
    <row r="136" spans="1:32" outlineLevel="1" x14ac:dyDescent="0.3">
      <c r="A136" s="171" t="s">
        <v>87</v>
      </c>
      <c r="B136" s="167"/>
      <c r="C136" s="130">
        <f>C135/B135-1</f>
        <v>0.13339447671456228</v>
      </c>
      <c r="D136" s="130">
        <f t="shared" ref="D136:Q136" si="228">D135/C135-1</f>
        <v>5.1429598992986936E-2</v>
      </c>
      <c r="E136" s="130">
        <f t="shared" si="228"/>
        <v>-2.8989225243714722E-2</v>
      </c>
      <c r="F136" s="130">
        <f t="shared" si="228"/>
        <v>-4.2448260678115468E-2</v>
      </c>
      <c r="G136" s="130">
        <f t="shared" si="228"/>
        <v>-0.21291271958061253</v>
      </c>
      <c r="H136" s="130">
        <f t="shared" si="228"/>
        <v>-7.7471371815844847E-2</v>
      </c>
      <c r="I136" s="130">
        <f t="shared" si="228"/>
        <v>0.29677010766307799</v>
      </c>
      <c r="J136" s="130">
        <f t="shared" si="228"/>
        <v>-5.3135378003516198E-2</v>
      </c>
      <c r="K136" s="130">
        <f t="shared" si="228"/>
        <v>-0.11491644316071803</v>
      </c>
      <c r="L136" s="130">
        <f t="shared" si="228"/>
        <v>2.7622377622377625E-2</v>
      </c>
      <c r="M136" s="130">
        <f t="shared" si="228"/>
        <v>-1.9280934558238982E-3</v>
      </c>
      <c r="N136" s="130">
        <f t="shared" si="228"/>
        <v>-1.1363636363636576E-2</v>
      </c>
      <c r="O136" s="130">
        <f t="shared" si="228"/>
        <v>-1.1494252873563204E-2</v>
      </c>
      <c r="P136" s="130">
        <f t="shared" si="228"/>
        <v>0</v>
      </c>
      <c r="Q136" s="130">
        <f t="shared" si="228"/>
        <v>0</v>
      </c>
      <c r="R136" s="167"/>
      <c r="S136" s="167"/>
      <c r="T136" s="167"/>
      <c r="U136" s="167"/>
      <c r="V136" s="167"/>
      <c r="W136" s="168"/>
      <c r="X136" s="169"/>
      <c r="Y136" s="169"/>
      <c r="Z136" s="167"/>
      <c r="AA136" s="167"/>
      <c r="AB136" s="167"/>
      <c r="AC136" s="167"/>
      <c r="AD136" s="167"/>
      <c r="AE136" s="127"/>
      <c r="AF136" s="170"/>
    </row>
    <row r="137" spans="1:32" outlineLevel="1" x14ac:dyDescent="0.3">
      <c r="A137" s="172" t="s">
        <v>133</v>
      </c>
      <c r="B137" s="173">
        <f>CHOOSE(IF($B$1=2,2,1),'GAAP-IFRS'!E25,IF('Broker Actual'!E25="-",'GAAP-IFRS'!E25,'Broker Actual'!E25))</f>
        <v>3.02</v>
      </c>
      <c r="C137" s="173">
        <f>CHOOSE(IF($B$1=2,2,1),'GAAP-IFRS'!F25,IF('Broker Actual'!F25="-",'GAAP-IFRS'!F25,'Broker Actual'!F25))</f>
        <v>5.63</v>
      </c>
      <c r="D137" s="173">
        <f>CHOOSE(IF($B$1=2,2,1),'GAAP-IFRS'!G25,IF('Broker Actual'!G25="-",'GAAP-IFRS'!G25,'Broker Actual'!G25))</f>
        <v>5.1086299999999998</v>
      </c>
      <c r="E137" s="173">
        <f>CHOOSE(IF($B$1=2,2,1),'GAAP-IFRS'!H25,IF('Broker Actual'!H25="-",'GAAP-IFRS'!H25,'Broker Actual'!H25))</f>
        <v>5.9337799999999996</v>
      </c>
      <c r="F137" s="173">
        <f>CHOOSE(IF($B$1=2,2,1),'GAAP-IFRS'!I25,IF('Broker Actual'!I25="-",'GAAP-IFRS'!I25,'Broker Actual'!I25))</f>
        <v>2.7578999999999998</v>
      </c>
      <c r="G137" s="173">
        <f>CHOOSE(IF($B$1=2,2,1),'GAAP-IFRS'!J25,IF('Broker Actual'!J25="-",'GAAP-IFRS'!J25,'Broker Actual'!J25))</f>
        <v>-0.95862099999999995</v>
      </c>
      <c r="H137" s="173">
        <f>CHOOSE(IF($B$1=2,2,1),'GAAP-IFRS'!K25,IF('Broker Actual'!K25="-",'GAAP-IFRS'!K25,'Broker Actual'!K25))</f>
        <v>3.23</v>
      </c>
      <c r="I137" s="173">
        <f>CHOOSE(IF($B$1=2,2,1),'GAAP-IFRS'!L25,IF('Broker Actual'!L25="-",'GAAP-IFRS'!L25,'Broker Actual'!L25))</f>
        <v>2.57</v>
      </c>
      <c r="J137" s="173">
        <f>CHOOSE(IF($B$1=2,2,1),'GAAP-IFRS'!M25,IF('Broker Actual'!M25="-",'GAAP-IFRS'!M25,'Broker Actual'!M25))</f>
        <v>3.44</v>
      </c>
      <c r="K137" s="173">
        <f>CHOOSE(IF($B$1=2,2,1),'GAAP-IFRS'!N25,IF('Broker Actual'!N25="-",'GAAP-IFRS'!N25,'Broker Actual'!N25))</f>
        <v>0.1</v>
      </c>
      <c r="L137" s="173">
        <f>CHOOSE(IF($B$1=2,2,1),'GAAP-IFRS'!O25,IF('Broker Actual'!O25="-",'GAAP-IFRS'!O25,'Broker Actual'!O25))</f>
        <v>-5.48</v>
      </c>
      <c r="M137" s="174">
        <f>M128/M135</f>
        <v>3.6573223271272703</v>
      </c>
      <c r="N137" s="174">
        <f>N128/N135</f>
        <v>4.2531725024235341</v>
      </c>
      <c r="O137" s="174">
        <f>O128/O135</f>
        <v>4.4292492444084077</v>
      </c>
      <c r="P137" s="174">
        <f>P128/P135</f>
        <v>6.8658997722317405</v>
      </c>
      <c r="Q137" s="174">
        <f>Q128/Q135</f>
        <v>7.5720588404909552</v>
      </c>
      <c r="R137" s="167"/>
      <c r="S137" s="167"/>
      <c r="T137" s="167"/>
      <c r="U137" s="167"/>
      <c r="V137" s="167"/>
      <c r="W137" s="168"/>
      <c r="X137" s="169"/>
      <c r="Y137" s="169"/>
      <c r="Z137" s="167"/>
      <c r="AA137" s="167"/>
      <c r="AB137" s="167"/>
      <c r="AC137" s="167"/>
      <c r="AD137" s="167"/>
      <c r="AE137" s="127"/>
      <c r="AF137" s="170"/>
    </row>
    <row r="138" spans="1:32" s="118" customFormat="1" outlineLevel="1" x14ac:dyDescent="0.3">
      <c r="A138" s="129" t="s">
        <v>87</v>
      </c>
      <c r="B138" s="149"/>
      <c r="C138" s="130">
        <f>C137/B137-1</f>
        <v>0.86423841059602635</v>
      </c>
      <c r="D138" s="130">
        <f t="shared" ref="D138:L138" si="229">D137/C137-1</f>
        <v>-9.2605683836589736E-2</v>
      </c>
      <c r="E138" s="130">
        <f t="shared" si="229"/>
        <v>0.16152079911835471</v>
      </c>
      <c r="F138" s="130">
        <f t="shared" si="229"/>
        <v>-0.53522038228582791</v>
      </c>
      <c r="G138" s="130">
        <f t="shared" si="229"/>
        <v>-1.3475909206280141</v>
      </c>
      <c r="H138" s="130">
        <f t="shared" si="229"/>
        <v>-4.3694233696111393</v>
      </c>
      <c r="I138" s="130">
        <f t="shared" si="229"/>
        <v>-0.20433436532507743</v>
      </c>
      <c r="J138" s="130">
        <f t="shared" si="229"/>
        <v>0.33852140077821025</v>
      </c>
      <c r="K138" s="130">
        <f t="shared" si="229"/>
        <v>-0.97093023255813948</v>
      </c>
      <c r="L138" s="130">
        <f t="shared" si="229"/>
        <v>-55.800000000000004</v>
      </c>
      <c r="M138" s="130" t="s">
        <v>626</v>
      </c>
      <c r="N138" s="130">
        <f>N137/M137-1</f>
        <v>0.16291978721063072</v>
      </c>
      <c r="O138" s="130">
        <f t="shared" ref="O138:Q138" si="230">O137/N137-1</f>
        <v>4.1398918544813812E-2</v>
      </c>
      <c r="P138" s="130">
        <f t="shared" si="230"/>
        <v>0.55012720968444473</v>
      </c>
      <c r="Q138" s="130">
        <f t="shared" si="230"/>
        <v>0.10285018594579332</v>
      </c>
      <c r="R138" s="149"/>
      <c r="S138" s="149"/>
      <c r="T138" s="149"/>
      <c r="U138" s="149"/>
      <c r="V138" s="149"/>
      <c r="W138" s="150"/>
      <c r="X138" s="151"/>
      <c r="Y138" s="151"/>
      <c r="Z138" s="149"/>
      <c r="AA138" s="149"/>
      <c r="AB138" s="149"/>
      <c r="AC138" s="149"/>
      <c r="AD138" s="149"/>
      <c r="AE138" s="152"/>
      <c r="AF138" s="153"/>
    </row>
    <row r="139" spans="1:32" s="118" customFormat="1" outlineLevel="1" x14ac:dyDescent="0.3">
      <c r="A139" s="129"/>
      <c r="B139" s="149"/>
      <c r="C139" s="130"/>
      <c r="D139" s="130"/>
      <c r="E139" s="130"/>
      <c r="F139" s="130"/>
      <c r="G139" s="130"/>
      <c r="H139" s="130"/>
      <c r="I139" s="130"/>
      <c r="J139" s="130"/>
      <c r="K139" s="130"/>
      <c r="L139" s="130"/>
      <c r="M139" s="218"/>
      <c r="N139" s="218"/>
      <c r="O139" s="218"/>
      <c r="P139" s="130"/>
      <c r="Q139" s="130"/>
      <c r="R139" s="149"/>
      <c r="S139" s="149"/>
      <c r="T139" s="149"/>
      <c r="U139" s="149"/>
      <c r="V139" s="149"/>
      <c r="W139" s="150"/>
      <c r="X139" s="151"/>
      <c r="Y139" s="151"/>
      <c r="Z139" s="149"/>
      <c r="AA139" s="149"/>
      <c r="AB139" s="149"/>
      <c r="AC139" s="149"/>
      <c r="AD139" s="149"/>
      <c r="AE139" s="152"/>
      <c r="AF139" s="153"/>
    </row>
    <row r="140" spans="1:32" s="118" customFormat="1" outlineLevel="1" x14ac:dyDescent="0.3">
      <c r="A140" s="129"/>
      <c r="B140" s="149"/>
      <c r="C140" s="130"/>
      <c r="D140" s="130"/>
      <c r="E140" s="130"/>
      <c r="F140" s="130"/>
      <c r="G140" s="130"/>
      <c r="H140" s="130"/>
      <c r="I140" s="130"/>
      <c r="J140" s="130"/>
      <c r="K140" s="130"/>
      <c r="L140" s="130"/>
      <c r="M140" s="130"/>
      <c r="N140" s="130"/>
      <c r="O140" s="130"/>
      <c r="P140" s="130"/>
      <c r="Q140" s="130"/>
      <c r="R140" s="149"/>
      <c r="S140" s="149"/>
      <c r="T140" s="149"/>
      <c r="U140" s="149"/>
      <c r="V140" s="149"/>
      <c r="W140" s="150"/>
      <c r="X140" s="151"/>
      <c r="Y140" s="151"/>
      <c r="Z140" s="149"/>
      <c r="AA140" s="149"/>
      <c r="AB140" s="149"/>
      <c r="AC140" s="149"/>
      <c r="AD140" s="149"/>
      <c r="AE140" s="152"/>
      <c r="AF140" s="153"/>
    </row>
    <row r="141" spans="1:32" s="118" customFormat="1" outlineLevel="1" x14ac:dyDescent="0.3">
      <c r="A141" s="129"/>
      <c r="B141" s="149"/>
      <c r="C141" s="130"/>
      <c r="D141" s="130"/>
      <c r="E141" s="130"/>
      <c r="F141" s="130"/>
      <c r="G141" s="130"/>
      <c r="H141" s="130"/>
      <c r="I141" s="130"/>
      <c r="J141" s="130"/>
      <c r="K141" s="130"/>
      <c r="L141" s="130"/>
      <c r="M141" s="130"/>
      <c r="N141" s="130"/>
      <c r="O141" s="130"/>
      <c r="P141" s="130"/>
      <c r="Q141" s="130"/>
      <c r="R141" s="149"/>
      <c r="S141" s="149"/>
      <c r="T141" s="149"/>
      <c r="U141" s="149"/>
      <c r="V141" s="149"/>
      <c r="W141" s="150"/>
      <c r="X141" s="151"/>
      <c r="Y141" s="151"/>
      <c r="Z141" s="149"/>
      <c r="AA141" s="149"/>
      <c r="AB141" s="149"/>
      <c r="AC141" s="149"/>
      <c r="AD141" s="149"/>
      <c r="AE141" s="152"/>
      <c r="AF141" s="153"/>
    </row>
    <row r="142" spans="1:32" s="118" customFormat="1" outlineLevel="1" x14ac:dyDescent="0.3">
      <c r="A142" s="129"/>
      <c r="B142" s="149"/>
      <c r="C142" s="130"/>
      <c r="D142" s="130"/>
      <c r="E142" s="130"/>
      <c r="F142" s="130"/>
      <c r="G142" s="130"/>
      <c r="H142" s="130"/>
      <c r="I142" s="130"/>
      <c r="J142" s="130"/>
      <c r="K142" s="130"/>
      <c r="L142" s="130"/>
      <c r="M142" s="130"/>
      <c r="N142" s="130"/>
      <c r="O142" s="130"/>
      <c r="P142" s="130"/>
      <c r="Q142" s="130"/>
      <c r="R142" s="149"/>
      <c r="S142" s="149"/>
      <c r="T142" s="149"/>
      <c r="U142" s="149"/>
      <c r="V142" s="149"/>
      <c r="W142" s="150"/>
      <c r="X142" s="151"/>
      <c r="Y142" s="151"/>
      <c r="Z142" s="149"/>
      <c r="AA142" s="149"/>
      <c r="AB142" s="149"/>
      <c r="AC142" s="149"/>
      <c r="AD142" s="149"/>
      <c r="AE142" s="152"/>
      <c r="AF142" s="153"/>
    </row>
    <row r="143" spans="1:32" s="118" customFormat="1" outlineLevel="1" x14ac:dyDescent="0.3">
      <c r="A143" s="129"/>
      <c r="B143" s="149"/>
      <c r="C143" s="130"/>
      <c r="D143" s="130"/>
      <c r="E143" s="130"/>
      <c r="F143" s="130"/>
      <c r="G143" s="130"/>
      <c r="H143" s="130"/>
      <c r="I143" s="130"/>
      <c r="J143" s="130"/>
      <c r="K143" s="130"/>
      <c r="L143" s="130"/>
      <c r="M143" s="130"/>
      <c r="N143" s="130"/>
      <c r="O143" s="130"/>
      <c r="P143" s="130"/>
      <c r="Q143" s="130"/>
      <c r="R143" s="149"/>
      <c r="S143" s="149"/>
      <c r="T143" s="149"/>
      <c r="U143" s="149"/>
      <c r="V143" s="149"/>
      <c r="W143" s="150"/>
      <c r="X143" s="151"/>
      <c r="Y143" s="151"/>
      <c r="Z143" s="149"/>
      <c r="AA143" s="149"/>
      <c r="AB143" s="149"/>
      <c r="AC143" s="149"/>
      <c r="AD143" s="149"/>
      <c r="AE143" s="152"/>
      <c r="AF143" s="153"/>
    </row>
    <row r="144" spans="1:32" s="118" customFormat="1" outlineLevel="1" x14ac:dyDescent="0.3">
      <c r="A144" s="129"/>
      <c r="B144" s="149"/>
      <c r="C144" s="130"/>
      <c r="D144" s="130"/>
      <c r="E144" s="130"/>
      <c r="F144" s="130"/>
      <c r="G144" s="130"/>
      <c r="H144" s="130"/>
      <c r="I144" s="130"/>
      <c r="J144" s="130"/>
      <c r="K144" s="130"/>
      <c r="L144" s="130"/>
      <c r="M144" s="130"/>
      <c r="N144" s="130"/>
      <c r="O144" s="130"/>
      <c r="P144" s="130"/>
      <c r="Q144" s="130"/>
      <c r="R144" s="149"/>
      <c r="S144" s="149"/>
      <c r="T144" s="149"/>
      <c r="U144" s="149"/>
      <c r="V144" s="149"/>
      <c r="W144" s="150"/>
      <c r="X144" s="151"/>
      <c r="Y144" s="151"/>
      <c r="Z144" s="149"/>
      <c r="AA144" s="149"/>
      <c r="AB144" s="149"/>
      <c r="AC144" s="149"/>
      <c r="AD144" s="149"/>
      <c r="AE144" s="152"/>
      <c r="AF144" s="153"/>
    </row>
    <row r="145" spans="1:48" s="118" customFormat="1" outlineLevel="1" x14ac:dyDescent="0.3">
      <c r="A145" s="129"/>
      <c r="B145" s="149"/>
      <c r="C145" s="130"/>
      <c r="D145" s="130"/>
      <c r="E145" s="130"/>
      <c r="F145" s="130"/>
      <c r="G145" s="130"/>
      <c r="H145" s="130"/>
      <c r="I145" s="130"/>
      <c r="J145" s="130"/>
      <c r="K145" s="130"/>
      <c r="L145" s="130"/>
      <c r="M145" s="130"/>
      <c r="N145" s="130"/>
      <c r="O145" s="130"/>
      <c r="P145" s="130"/>
      <c r="Q145" s="130"/>
      <c r="R145" s="149"/>
      <c r="S145" s="149"/>
      <c r="T145" s="149"/>
      <c r="U145" s="149"/>
      <c r="V145" s="149"/>
      <c r="W145" s="150"/>
      <c r="X145" s="151"/>
      <c r="Y145" s="151"/>
      <c r="Z145" s="149"/>
      <c r="AA145" s="149"/>
      <c r="AB145" s="149"/>
      <c r="AC145" s="149"/>
      <c r="AD145" s="149"/>
      <c r="AE145" s="152"/>
      <c r="AF145" s="153"/>
    </row>
    <row r="146" spans="1:48" s="118" customFormat="1" outlineLevel="1" x14ac:dyDescent="0.3">
      <c r="A146" s="129"/>
      <c r="B146" s="149"/>
      <c r="C146" s="130"/>
      <c r="D146" s="130"/>
      <c r="E146" s="130"/>
      <c r="F146" s="130"/>
      <c r="G146" s="130"/>
      <c r="H146" s="130"/>
      <c r="I146" s="130"/>
      <c r="J146" s="130"/>
      <c r="K146" s="130"/>
      <c r="L146" s="130"/>
      <c r="M146" s="130"/>
      <c r="N146" s="130"/>
      <c r="O146" s="130"/>
      <c r="P146" s="130"/>
      <c r="Q146" s="130"/>
      <c r="R146" s="149"/>
      <c r="S146" s="149"/>
      <c r="T146" s="149"/>
      <c r="U146" s="149"/>
      <c r="V146" s="149"/>
      <c r="W146" s="150"/>
      <c r="X146" s="151"/>
      <c r="Y146" s="151"/>
      <c r="Z146" s="149"/>
      <c r="AA146" s="149"/>
      <c r="AB146" s="149"/>
      <c r="AC146" s="149"/>
      <c r="AD146" s="149"/>
      <c r="AE146" s="152"/>
      <c r="AF146" s="153"/>
    </row>
    <row r="147" spans="1:48" s="118" customFormat="1" outlineLevel="1" x14ac:dyDescent="0.3">
      <c r="A147" s="129"/>
      <c r="B147" s="149"/>
      <c r="C147" s="130"/>
      <c r="D147" s="130"/>
      <c r="E147" s="130"/>
      <c r="F147" s="130"/>
      <c r="G147" s="130"/>
      <c r="H147" s="130"/>
      <c r="I147" s="130"/>
      <c r="J147" s="130"/>
      <c r="K147" s="130"/>
      <c r="L147" s="130"/>
      <c r="M147" s="130"/>
      <c r="N147" s="130"/>
      <c r="O147" s="130"/>
      <c r="P147" s="130"/>
      <c r="Q147" s="130"/>
      <c r="R147" s="149"/>
      <c r="S147" s="149"/>
      <c r="T147" s="149"/>
      <c r="U147" s="149"/>
      <c r="V147" s="149"/>
      <c r="W147" s="150"/>
      <c r="X147" s="151"/>
      <c r="Y147" s="151"/>
      <c r="Z147" s="149"/>
      <c r="AA147" s="149"/>
      <c r="AB147" s="149"/>
      <c r="AC147" s="149"/>
      <c r="AD147" s="149"/>
      <c r="AE147" s="152"/>
      <c r="AF147" s="153"/>
    </row>
    <row r="148" spans="1:48" s="118" customFormat="1" outlineLevel="1" x14ac:dyDescent="0.3">
      <c r="A148" s="129"/>
      <c r="B148" s="149"/>
      <c r="C148" s="130"/>
      <c r="D148" s="130"/>
      <c r="E148" s="130"/>
      <c r="F148" s="130"/>
      <c r="G148" s="130"/>
      <c r="H148" s="130"/>
      <c r="I148" s="130"/>
      <c r="J148" s="130"/>
      <c r="K148" s="130"/>
      <c r="L148" s="130"/>
      <c r="M148" s="130"/>
      <c r="N148" s="130"/>
      <c r="O148" s="130"/>
      <c r="P148" s="130"/>
      <c r="Q148" s="130"/>
      <c r="R148" s="149"/>
      <c r="S148" s="149"/>
      <c r="T148" s="149"/>
      <c r="U148" s="149"/>
      <c r="V148" s="149"/>
      <c r="W148" s="150"/>
      <c r="X148" s="151"/>
      <c r="Y148" s="151"/>
      <c r="Z148" s="149"/>
      <c r="AA148" s="149"/>
      <c r="AB148" s="149"/>
      <c r="AC148" s="149"/>
      <c r="AD148" s="149"/>
      <c r="AE148" s="152"/>
      <c r="AF148" s="153"/>
    </row>
    <row r="149" spans="1:48" s="118" customFormat="1" outlineLevel="1" x14ac:dyDescent="0.3">
      <c r="A149" s="129"/>
      <c r="B149" s="149"/>
      <c r="C149" s="130"/>
      <c r="D149" s="130"/>
      <c r="E149" s="130"/>
      <c r="F149" s="130"/>
      <c r="G149" s="130"/>
      <c r="H149" s="130"/>
      <c r="I149" s="130"/>
      <c r="J149" s="130"/>
      <c r="K149" s="130"/>
      <c r="L149" s="130"/>
      <c r="M149" s="130"/>
      <c r="N149" s="130"/>
      <c r="O149" s="130"/>
      <c r="P149" s="130"/>
      <c r="Q149" s="130"/>
      <c r="R149" s="149"/>
      <c r="S149" s="149"/>
      <c r="T149" s="149"/>
      <c r="U149" s="149"/>
      <c r="V149" s="149"/>
      <c r="W149" s="150"/>
      <c r="X149" s="151"/>
      <c r="Y149" s="151"/>
      <c r="Z149" s="149"/>
      <c r="AA149" s="149"/>
      <c r="AB149" s="149"/>
      <c r="AC149" s="149"/>
      <c r="AD149" s="149"/>
      <c r="AE149" s="152"/>
      <c r="AF149" s="153"/>
    </row>
    <row r="150" spans="1:48" s="118" customFormat="1" outlineLevel="1" x14ac:dyDescent="0.3">
      <c r="A150" s="129"/>
      <c r="B150" s="149"/>
      <c r="C150" s="130"/>
      <c r="D150" s="130"/>
      <c r="E150" s="130"/>
      <c r="F150" s="130"/>
      <c r="G150" s="130"/>
      <c r="H150" s="130"/>
      <c r="I150" s="130"/>
      <c r="J150" s="130"/>
      <c r="K150" s="130"/>
      <c r="L150" s="130"/>
      <c r="M150" s="130"/>
      <c r="N150" s="130"/>
      <c r="O150" s="130"/>
      <c r="P150" s="130"/>
      <c r="Q150" s="130"/>
      <c r="R150" s="149"/>
      <c r="S150" s="149"/>
      <c r="T150" s="149"/>
      <c r="U150" s="149"/>
      <c r="V150" s="149"/>
      <c r="W150" s="150"/>
      <c r="X150" s="151"/>
      <c r="Y150" s="151"/>
      <c r="Z150" s="149"/>
      <c r="AA150" s="149"/>
      <c r="AB150" s="149"/>
      <c r="AC150" s="149"/>
      <c r="AD150" s="149"/>
      <c r="AE150" s="152"/>
      <c r="AF150" s="153"/>
    </row>
    <row r="151" spans="1:48" outlineLevel="1" x14ac:dyDescent="0.3">
      <c r="B151" s="124"/>
      <c r="C151" s="124"/>
      <c r="D151" s="124"/>
      <c r="E151" s="124"/>
      <c r="F151" s="124"/>
      <c r="G151" s="124"/>
      <c r="H151" s="124"/>
      <c r="I151" s="124"/>
      <c r="J151" s="124"/>
      <c r="K151" s="124"/>
      <c r="L151" s="124"/>
      <c r="M151" s="124"/>
      <c r="N151" s="124"/>
      <c r="O151" s="124"/>
      <c r="P151" s="124"/>
      <c r="Q151" s="124"/>
      <c r="R151" s="124"/>
      <c r="S151" s="124"/>
      <c r="T151" s="124"/>
      <c r="U151" s="124"/>
      <c r="V151" s="124"/>
      <c r="Y151" s="78"/>
      <c r="Z151" s="121"/>
      <c r="AA151" s="121"/>
      <c r="AB151" s="121"/>
      <c r="AC151" s="121"/>
      <c r="AD151" s="121"/>
      <c r="AE151" s="175"/>
    </row>
    <row r="152" spans="1:48" x14ac:dyDescent="0.3">
      <c r="B152" s="124"/>
      <c r="C152" s="124"/>
      <c r="D152" s="124"/>
      <c r="E152" s="124"/>
      <c r="F152" s="124"/>
      <c r="G152" s="124"/>
      <c r="H152" s="124"/>
      <c r="I152" s="124"/>
      <c r="J152" s="124"/>
      <c r="K152" s="124"/>
      <c r="L152" s="124"/>
      <c r="M152" s="124"/>
      <c r="N152" s="124"/>
      <c r="O152" s="124"/>
      <c r="P152" s="124"/>
      <c r="Q152" s="124"/>
      <c r="R152" s="124"/>
      <c r="S152" s="124"/>
      <c r="T152" s="124"/>
      <c r="U152" s="124"/>
      <c r="V152" s="124"/>
      <c r="Y152" s="78"/>
      <c r="Z152" s="121"/>
      <c r="AA152" s="121"/>
      <c r="AB152" s="121"/>
      <c r="AC152" s="121"/>
      <c r="AD152" s="121"/>
      <c r="AE152" s="175"/>
    </row>
    <row r="153" spans="1:48" s="102" customFormat="1" x14ac:dyDescent="0.3">
      <c r="A153" s="176" t="s">
        <v>134</v>
      </c>
      <c r="B153" s="177"/>
      <c r="C153" s="137"/>
      <c r="D153" s="137"/>
      <c r="E153" s="137"/>
      <c r="F153" s="137"/>
      <c r="G153" s="137"/>
      <c r="H153" s="137"/>
      <c r="I153" s="137"/>
      <c r="J153" s="137"/>
      <c r="K153" s="137"/>
      <c r="L153" s="137"/>
      <c r="M153" s="137"/>
      <c r="N153" s="137"/>
      <c r="O153" s="137"/>
      <c r="P153" s="137"/>
      <c r="Q153" s="137"/>
      <c r="R153" s="137"/>
      <c r="S153" s="137"/>
      <c r="T153" s="137"/>
      <c r="U153" s="137"/>
      <c r="V153" s="137"/>
      <c r="W153" s="178"/>
      <c r="X153" s="179"/>
      <c r="Y153" s="179"/>
      <c r="Z153" s="180"/>
      <c r="AA153" s="180"/>
      <c r="AB153" s="180"/>
      <c r="AC153" s="180"/>
      <c r="AD153" s="180"/>
      <c r="AE153" s="181"/>
      <c r="AL153" s="79"/>
      <c r="AM153" s="79"/>
      <c r="AN153" s="79"/>
      <c r="AO153" s="79"/>
      <c r="AP153" s="79"/>
      <c r="AQ153" s="79"/>
      <c r="AR153" s="79"/>
      <c r="AS153" s="79"/>
      <c r="AT153" s="79"/>
      <c r="AU153" s="79"/>
      <c r="AV153" s="79"/>
    </row>
    <row r="154" spans="1:48" outlineLevel="1" x14ac:dyDescent="0.3">
      <c r="A154" s="182" t="s">
        <v>135</v>
      </c>
      <c r="B154" s="140" t="str">
        <f>CHOOSE(IF($B$1=2,2,1),'GAAP-IFRS'!E28,IF('Broker Actual'!E28="-",'GAAP-IFRS'!E28,'Broker Actual'!E28))</f>
        <v/>
      </c>
      <c r="C154" s="140" t="str">
        <f>CHOOSE(IF($B$1=2,2,1),'GAAP-IFRS'!F28,IF('Broker Actual'!F28="-",'GAAP-IFRS'!F28,'Broker Actual'!F28))</f>
        <v/>
      </c>
      <c r="D154" s="140" t="str">
        <f>CHOOSE(IF($B$1=2,2,1),'GAAP-IFRS'!G28,IF('Broker Actual'!G28="-",'GAAP-IFRS'!G28,'Broker Actual'!G28))</f>
        <v/>
      </c>
      <c r="E154" s="140" t="str">
        <f>CHOOSE(IF($B$1=2,2,1),'GAAP-IFRS'!H28,IF('Broker Actual'!H28="-",'GAAP-IFRS'!H28,'Broker Actual'!H28))</f>
        <v/>
      </c>
      <c r="F154" s="140" t="str">
        <f>CHOOSE(IF($B$1=2,2,1),'GAAP-IFRS'!I28,IF('Broker Actual'!I28="-",'GAAP-IFRS'!I28,'Broker Actual'!I28))</f>
        <v/>
      </c>
      <c r="G154" s="140" t="str">
        <f>CHOOSE(IF($B$1=2,2,1),'GAAP-IFRS'!J28,IF('Broker Actual'!J28="-",'GAAP-IFRS'!J28,'Broker Actual'!J28))</f>
        <v/>
      </c>
      <c r="H154" s="140" t="str">
        <f>CHOOSE(IF($B$1=2,2,1),'GAAP-IFRS'!K28,IF('Broker Actual'!K28="-",'GAAP-IFRS'!K28,'Broker Actual'!K28))</f>
        <v/>
      </c>
      <c r="I154" s="140" t="str">
        <f>CHOOSE(IF($B$1=2,2,1),'GAAP-IFRS'!L28,IF('Broker Actual'!L28="-",'GAAP-IFRS'!L28,'Broker Actual'!L28))</f>
        <v/>
      </c>
      <c r="J154" s="140" t="str">
        <f>CHOOSE(IF($B$1=2,2,1),'GAAP-IFRS'!M28,IF('Broker Actual'!M28="-",'GAAP-IFRS'!M28,'Broker Actual'!M28))</f>
        <v/>
      </c>
      <c r="K154" s="140" t="str">
        <f>CHOOSE(IF($B$1=2,2,1),'GAAP-IFRS'!N28,IF('Broker Actual'!N28="-",'GAAP-IFRS'!N28,'Broker Actual'!N28))</f>
        <v/>
      </c>
      <c r="L154" s="140" t="str">
        <f>CHOOSE(IF($B$1=2,2,1),'GAAP-IFRS'!O28,IF('Broker Actual'!O28="-",'GAAP-IFRS'!O28,'Broker Actual'!O28))</f>
        <v/>
      </c>
      <c r="M154" s="124"/>
      <c r="N154" s="124"/>
      <c r="O154" s="124"/>
      <c r="P154" s="124"/>
      <c r="Q154" s="124"/>
      <c r="R154" s="124"/>
      <c r="S154" s="124"/>
      <c r="T154" s="124"/>
      <c r="U154" s="124"/>
      <c r="V154" s="124"/>
      <c r="W154" s="125"/>
      <c r="X154" s="126"/>
      <c r="Y154" s="126"/>
      <c r="Z154" s="124"/>
      <c r="AA154" s="124"/>
      <c r="AB154" s="124"/>
      <c r="AC154" s="124"/>
      <c r="AD154" s="124"/>
      <c r="AE154" s="127"/>
    </row>
    <row r="155" spans="1:48" outlineLevel="1" x14ac:dyDescent="0.3">
      <c r="A155" s="182" t="s">
        <v>136</v>
      </c>
      <c r="B155" s="140"/>
      <c r="C155" s="140"/>
      <c r="D155" s="140"/>
      <c r="E155" s="140"/>
      <c r="F155" s="140"/>
      <c r="G155" s="140"/>
      <c r="H155" s="140"/>
      <c r="I155" s="140"/>
      <c r="J155" s="140"/>
      <c r="K155" s="140"/>
      <c r="L155" s="140"/>
      <c r="M155" s="141">
        <f>M156*M$57</f>
        <v>0</v>
      </c>
      <c r="N155" s="141">
        <f t="shared" ref="N155:Q155" si="231">N156*N$57</f>
        <v>0</v>
      </c>
      <c r="O155" s="141">
        <f t="shared" si="231"/>
        <v>0</v>
      </c>
      <c r="P155" s="141">
        <f t="shared" si="231"/>
        <v>0</v>
      </c>
      <c r="Q155" s="141">
        <f t="shared" si="231"/>
        <v>0</v>
      </c>
      <c r="R155" s="124"/>
      <c r="S155" s="124"/>
      <c r="T155" s="124"/>
      <c r="U155" s="124"/>
      <c r="V155" s="124"/>
      <c r="W155" s="125"/>
      <c r="X155" s="126"/>
      <c r="Y155" s="126"/>
      <c r="Z155" s="124"/>
      <c r="AA155" s="124"/>
      <c r="AB155" s="124"/>
      <c r="AC155" s="124"/>
      <c r="AD155" s="124"/>
      <c r="AE155" s="127"/>
    </row>
    <row r="156" spans="1:48" ht="13.35" customHeight="1" outlineLevel="1" x14ac:dyDescent="0.3">
      <c r="A156" s="183" t="s">
        <v>137</v>
      </c>
      <c r="B156" s="130">
        <f>B155/B57</f>
        <v>0</v>
      </c>
      <c r="C156" s="130">
        <f>C155/C$57</f>
        <v>0</v>
      </c>
      <c r="D156" s="130">
        <f t="shared" ref="D156:L156" si="232">D155/D$57</f>
        <v>0</v>
      </c>
      <c r="E156" s="130">
        <f t="shared" si="232"/>
        <v>0</v>
      </c>
      <c r="F156" s="130">
        <f t="shared" si="232"/>
        <v>0</v>
      </c>
      <c r="G156" s="130">
        <f t="shared" si="232"/>
        <v>0</v>
      </c>
      <c r="H156" s="130">
        <f t="shared" si="232"/>
        <v>0</v>
      </c>
      <c r="I156" s="130">
        <f t="shared" si="232"/>
        <v>0</v>
      </c>
      <c r="J156" s="130">
        <f t="shared" si="232"/>
        <v>0</v>
      </c>
      <c r="K156" s="130">
        <f t="shared" si="232"/>
        <v>0</v>
      </c>
      <c r="L156" s="130">
        <f t="shared" si="232"/>
        <v>0</v>
      </c>
      <c r="M156" s="123">
        <v>0</v>
      </c>
      <c r="N156" s="123">
        <f>M156</f>
        <v>0</v>
      </c>
      <c r="O156" s="123">
        <f t="shared" ref="O156:Q156" si="233">N156</f>
        <v>0</v>
      </c>
      <c r="P156" s="123">
        <f t="shared" si="233"/>
        <v>0</v>
      </c>
      <c r="Q156" s="123">
        <f t="shared" si="233"/>
        <v>0</v>
      </c>
      <c r="R156" s="124"/>
      <c r="S156" s="124"/>
      <c r="T156" s="124"/>
      <c r="U156" s="124"/>
      <c r="V156" s="124"/>
      <c r="W156" s="125"/>
      <c r="X156" s="126"/>
      <c r="Y156" s="126"/>
      <c r="Z156" s="124"/>
      <c r="AA156" s="124"/>
      <c r="AB156" s="124"/>
      <c r="AC156" s="124"/>
      <c r="AD156" s="124"/>
      <c r="AE156" s="127"/>
    </row>
    <row r="157" spans="1:48" outlineLevel="1" x14ac:dyDescent="0.3">
      <c r="A157" s="182" t="s">
        <v>138</v>
      </c>
      <c r="B157" s="140"/>
      <c r="C157" s="140"/>
      <c r="D157" s="140"/>
      <c r="E157" s="140"/>
      <c r="F157" s="140"/>
      <c r="G157" s="140"/>
      <c r="H157" s="140"/>
      <c r="I157" s="140"/>
      <c r="J157" s="140"/>
      <c r="K157" s="140"/>
      <c r="L157" s="140"/>
      <c r="M157" s="141">
        <f>M158*M$57</f>
        <v>0</v>
      </c>
      <c r="N157" s="141">
        <f t="shared" ref="N157:Q157" si="234">N158*N$57</f>
        <v>0</v>
      </c>
      <c r="O157" s="141">
        <f t="shared" si="234"/>
        <v>0</v>
      </c>
      <c r="P157" s="141">
        <f t="shared" si="234"/>
        <v>0</v>
      </c>
      <c r="Q157" s="141">
        <f t="shared" si="234"/>
        <v>0</v>
      </c>
      <c r="R157" s="124"/>
      <c r="S157" s="124"/>
      <c r="T157" s="124"/>
      <c r="U157" s="124"/>
      <c r="V157" s="124"/>
      <c r="W157" s="125"/>
      <c r="X157" s="126" t="s">
        <v>91</v>
      </c>
      <c r="Y157" s="126" t="s">
        <v>139</v>
      </c>
      <c r="Z157" s="124" t="str" cm="1">
        <f t="array" ref="Z157">_xll.FDSC("--",$A$1,""&amp;$X157&amp;"("&amp;$Y157&amp;","&amp;D$2&amp;",ANNUAL_ROLL,+1,0,,,'CURRENCY="&amp;$E$1&amp;"')")</f>
        <v>--</v>
      </c>
      <c r="AA157" s="124" t="str" cm="1">
        <f t="array" ref="AA157">_xll.FDSC("--",$A$1,""&amp;$X157&amp;"("&amp;$Y157&amp;","&amp;D$2&amp;",ANNUAL_ROLL,+2,0,,,'CURRENCY="&amp;$E$1&amp;"')")</f>
        <v>--</v>
      </c>
      <c r="AB157" s="124" t="str" cm="1">
        <f t="array" ref="AB157">_xll.FDSC("--",$A$1,""&amp;$X157&amp;"("&amp;$Y157&amp;","&amp;D$2&amp;",ANNUAL_ROLL,+3,0,,,'CURRENCY="&amp;$E$1&amp;"')")</f>
        <v>--</v>
      </c>
      <c r="AC157" s="124"/>
      <c r="AD157" s="124"/>
      <c r="AE157" s="127"/>
    </row>
    <row r="158" spans="1:48" outlineLevel="1" x14ac:dyDescent="0.3">
      <c r="A158" s="183" t="s">
        <v>137</v>
      </c>
      <c r="B158" s="130">
        <f>B157/B57</f>
        <v>0</v>
      </c>
      <c r="C158" s="130">
        <f t="shared" ref="C158:L158" si="235">C157/C$57</f>
        <v>0</v>
      </c>
      <c r="D158" s="130">
        <f t="shared" si="235"/>
        <v>0</v>
      </c>
      <c r="E158" s="130">
        <f t="shared" si="235"/>
        <v>0</v>
      </c>
      <c r="F158" s="130">
        <f t="shared" si="235"/>
        <v>0</v>
      </c>
      <c r="G158" s="130">
        <f t="shared" si="235"/>
        <v>0</v>
      </c>
      <c r="H158" s="130">
        <f t="shared" si="235"/>
        <v>0</v>
      </c>
      <c r="I158" s="130">
        <f t="shared" si="235"/>
        <v>0</v>
      </c>
      <c r="J158" s="130">
        <f t="shared" si="235"/>
        <v>0</v>
      </c>
      <c r="K158" s="130">
        <f t="shared" si="235"/>
        <v>0</v>
      </c>
      <c r="L158" s="130">
        <f t="shared" si="235"/>
        <v>0</v>
      </c>
      <c r="M158" s="123">
        <v>0</v>
      </c>
      <c r="N158" s="123">
        <f>M158</f>
        <v>0</v>
      </c>
      <c r="O158" s="123">
        <f t="shared" ref="O158:Q158" si="236">N158</f>
        <v>0</v>
      </c>
      <c r="P158" s="123">
        <f t="shared" si="236"/>
        <v>0</v>
      </c>
      <c r="Q158" s="123">
        <f t="shared" si="236"/>
        <v>0</v>
      </c>
      <c r="R158" s="124"/>
      <c r="S158" s="124"/>
      <c r="T158" s="124"/>
      <c r="U158" s="124"/>
      <c r="V158" s="124"/>
      <c r="W158" s="125"/>
      <c r="X158" s="126"/>
      <c r="Y158" s="126"/>
      <c r="Z158" s="124"/>
      <c r="AA158" s="124"/>
      <c r="AB158" s="124"/>
      <c r="AC158" s="124"/>
      <c r="AD158" s="124"/>
      <c r="AE158" s="127"/>
    </row>
    <row r="159" spans="1:48" outlineLevel="1" x14ac:dyDescent="0.3">
      <c r="A159" s="182" t="s">
        <v>140</v>
      </c>
      <c r="B159" s="140">
        <f>CHOOSE(IF($B$1=2,2,1),'GAAP-IFRS'!E32,IF('Broker Actual'!E32="-",'GAAP-IFRS'!E32,'Broker Actual'!E32))</f>
        <v>242.495</v>
      </c>
      <c r="C159" s="140">
        <f>CHOOSE(IF($B$1=2,2,1),'GAAP-IFRS'!F32,IF('Broker Actual'!F32="-",'GAAP-IFRS'!F32,'Broker Actual'!F32))</f>
        <v>320.40100000000001</v>
      </c>
      <c r="D159" s="140">
        <f>CHOOSE(IF($B$1=2,2,1),'GAAP-IFRS'!G32,IF('Broker Actual'!G32="-",'GAAP-IFRS'!G32,'Broker Actual'!G32))</f>
        <v>363.06700000000001</v>
      </c>
      <c r="E159" s="140">
        <f>CHOOSE(IF($B$1=2,2,1),'GAAP-IFRS'!H32,IF('Broker Actual'!H32="-",'GAAP-IFRS'!H32,'Broker Actual'!H32))</f>
        <v>329.92500000000001</v>
      </c>
      <c r="F159" s="140">
        <f>CHOOSE(IF($B$1=2,2,1),'GAAP-IFRS'!I32,IF('Broker Actual'!I32="-",'GAAP-IFRS'!I32,'Broker Actual'!I32))</f>
        <v>311.34399999999999</v>
      </c>
      <c r="G159" s="140">
        <f>CHOOSE(IF($B$1=2,2,1),'GAAP-IFRS'!J32,IF('Broker Actual'!J32="-",'GAAP-IFRS'!J32,'Broker Actual'!J32))</f>
        <v>330.43200000000002</v>
      </c>
      <c r="H159" s="140">
        <f>CHOOSE(IF($B$1=2,2,1),'GAAP-IFRS'!K32,IF('Broker Actual'!K32="-",'GAAP-IFRS'!K32,'Broker Actual'!K32))</f>
        <v>379.77699999999999</v>
      </c>
      <c r="I159" s="140">
        <f>CHOOSE(IF($B$1=2,2,1),'GAAP-IFRS'!L32,IF('Broker Actual'!L32="-",'GAAP-IFRS'!L32,'Broker Actual'!L32))</f>
        <v>326.22899999999998</v>
      </c>
      <c r="J159" s="140">
        <f>CHOOSE(IF($B$1=2,2,1),'GAAP-IFRS'!M32,IF('Broker Actual'!M32="-",'GAAP-IFRS'!M32,'Broker Actual'!M32))</f>
        <v>539.44299999999998</v>
      </c>
      <c r="K159" s="140">
        <f>CHOOSE(IF($B$1=2,2,1),'GAAP-IFRS'!N32,IF('Broker Actual'!N32="-",'GAAP-IFRS'!N32,'Broker Actual'!N32))</f>
        <v>717.827</v>
      </c>
      <c r="L159" s="140">
        <f>CHOOSE(IF($B$1=2,2,1),'GAAP-IFRS'!O32,IF('Broker Actual'!O32="-",'GAAP-IFRS'!O32,'Broker Actual'!O32))</f>
        <v>559.19000000000005</v>
      </c>
      <c r="M159" s="124"/>
      <c r="N159" s="124"/>
      <c r="O159" s="124"/>
      <c r="P159" s="124"/>
      <c r="Q159" s="124"/>
      <c r="R159" s="124"/>
      <c r="S159" s="124"/>
      <c r="T159" s="124"/>
      <c r="U159" s="124"/>
      <c r="V159" s="124"/>
      <c r="W159" s="125"/>
      <c r="X159" s="126" t="s">
        <v>91</v>
      </c>
      <c r="Y159" s="126" t="s">
        <v>141</v>
      </c>
      <c r="Z159" s="124" t="str" cm="1">
        <f t="array" ref="Z159">_xll.FDSC("--",$A$1,""&amp;$X159&amp;"("&amp;$Y159&amp;","&amp;D$2&amp;",ANNUAL_ROLL,+1,0,,,'CURRENCY="&amp;$E$1&amp;"')")</f>
        <v>--</v>
      </c>
      <c r="AA159" s="124" t="str" cm="1">
        <f t="array" ref="AA159">_xll.FDSC("--",$A$1,""&amp;$X159&amp;"("&amp;$Y159&amp;","&amp;D$2&amp;",ANNUAL_ROLL,+2,0,,,'CURRENCY="&amp;$E$1&amp;"')")</f>
        <v>--</v>
      </c>
      <c r="AB159" s="124" t="str" cm="1">
        <f t="array" ref="AB159">_xll.FDSC("--",$A$1,""&amp;$X159&amp;"("&amp;$Y159&amp;","&amp;D$2&amp;",ANNUAL_ROLL,+3,0,,,'CURRENCY="&amp;$E$1&amp;"')")</f>
        <v>--</v>
      </c>
      <c r="AC159" s="124"/>
      <c r="AD159" s="124"/>
      <c r="AE159" s="127"/>
    </row>
    <row r="160" spans="1:48" outlineLevel="1" x14ac:dyDescent="0.3">
      <c r="A160" s="182" t="s">
        <v>142</v>
      </c>
      <c r="B160" s="140">
        <f>CHOOSE(IF($B$1=2,2,1),'GAAP-IFRS'!E33,IF('Broker Actual'!E33="-",'GAAP-IFRS'!E33,'Broker Actual'!E33))</f>
        <v>10.853</v>
      </c>
      <c r="C160" s="140">
        <f>CHOOSE(IF($B$1=2,2,1),'GAAP-IFRS'!F33,IF('Broker Actual'!F33="-",'GAAP-IFRS'!F33,'Broker Actual'!F33))</f>
        <v>13.132</v>
      </c>
      <c r="D160" s="140">
        <f>CHOOSE(IF($B$1=2,2,1),'GAAP-IFRS'!G33,IF('Broker Actual'!G33="-",'GAAP-IFRS'!G33,'Broker Actual'!G33))</f>
        <v>12.292</v>
      </c>
      <c r="E160" s="140">
        <f>CHOOSE(IF($B$1=2,2,1),'GAAP-IFRS'!H33,IF('Broker Actual'!H33="-",'GAAP-IFRS'!H33,'Broker Actual'!H33))</f>
        <v>11.786</v>
      </c>
      <c r="F160" s="140">
        <f>CHOOSE(IF($B$1=2,2,1),'GAAP-IFRS'!I33,IF('Broker Actual'!I33="-",'GAAP-IFRS'!I33,'Broker Actual'!I33))</f>
        <v>11.374000000000001</v>
      </c>
      <c r="G160" s="140">
        <f>CHOOSE(IF($B$1=2,2,1),'GAAP-IFRS'!J33,IF('Broker Actual'!J33="-",'GAAP-IFRS'!J33,'Broker Actual'!J33))</f>
        <v>12.465</v>
      </c>
      <c r="H160" s="140">
        <f>CHOOSE(IF($B$1=2,2,1),'GAAP-IFRS'!K33,IF('Broker Actual'!K33="-",'GAAP-IFRS'!K33,'Broker Actual'!K33))</f>
        <v>13.337999999999999</v>
      </c>
      <c r="I160" s="140">
        <f>CHOOSE(IF($B$1=2,2,1),'GAAP-IFRS'!L33,IF('Broker Actual'!L33="-",'GAAP-IFRS'!L33,'Broker Actual'!L33))</f>
        <v>15.182</v>
      </c>
      <c r="J160" s="140">
        <f>CHOOSE(IF($B$1=2,2,1),'GAAP-IFRS'!M33,IF('Broker Actual'!M33="-",'GAAP-IFRS'!M33,'Broker Actual'!M33))</f>
        <v>16.768999999999998</v>
      </c>
      <c r="K160" s="140">
        <f>CHOOSE(IF($B$1=2,2,1),'GAAP-IFRS'!N33,IF('Broker Actual'!N33="-",'GAAP-IFRS'!N33,'Broker Actual'!N33))</f>
        <v>16.436</v>
      </c>
      <c r="L160" s="140">
        <f>CHOOSE(IF($B$1=2,2,1),'GAAP-IFRS'!O33,IF('Broker Actual'!O33="-",'GAAP-IFRS'!O33,'Broker Actual'!O33))</f>
        <v>18.687000000000001</v>
      </c>
      <c r="M160" s="124"/>
      <c r="N160" s="124"/>
      <c r="O160" s="124"/>
      <c r="P160" s="124"/>
      <c r="Q160" s="124"/>
      <c r="R160" s="124"/>
      <c r="S160" s="124"/>
      <c r="T160" s="124"/>
      <c r="U160" s="124"/>
      <c r="V160" s="124"/>
      <c r="W160" s="125"/>
      <c r="X160" s="126"/>
      <c r="Y160" s="126"/>
      <c r="Z160" s="124"/>
      <c r="AA160" s="124"/>
      <c r="AB160" s="124"/>
      <c r="AC160" s="124"/>
      <c r="AD160" s="124"/>
      <c r="AE160" s="127"/>
    </row>
    <row r="161" spans="1:31" outlineLevel="1" x14ac:dyDescent="0.3">
      <c r="A161" s="182" t="s">
        <v>143</v>
      </c>
      <c r="B161" s="140">
        <f>CHOOSE(IF($B$1=2,2,1),'GAAP-IFRS'!E34,IF('Broker Actual'!E34="-",'GAAP-IFRS'!E34,'Broker Actual'!E34))</f>
        <v>0</v>
      </c>
      <c r="C161" s="140">
        <f>CHOOSE(IF($B$1=2,2,1),'GAAP-IFRS'!F34,IF('Broker Actual'!F34="-",'GAAP-IFRS'!F34,'Broker Actual'!F34))</f>
        <v>0</v>
      </c>
      <c r="D161" s="140">
        <f>CHOOSE(IF($B$1=2,2,1),'GAAP-IFRS'!G34,IF('Broker Actual'!G34="-",'GAAP-IFRS'!G34,'Broker Actual'!G34))</f>
        <v>0</v>
      </c>
      <c r="E161" s="140">
        <f>CHOOSE(IF($B$1=2,2,1),'GAAP-IFRS'!H34,IF('Broker Actual'!H34="-",'GAAP-IFRS'!H34,'Broker Actual'!H34))</f>
        <v>0</v>
      </c>
      <c r="F161" s="140">
        <f>CHOOSE(IF($B$1=2,2,1),'GAAP-IFRS'!I34,IF('Broker Actual'!I34="-",'GAAP-IFRS'!I34,'Broker Actual'!I34))</f>
        <v>4.899</v>
      </c>
      <c r="G161" s="140">
        <f>CHOOSE(IF($B$1=2,2,1),'GAAP-IFRS'!J34,IF('Broker Actual'!J34="-",'GAAP-IFRS'!J34,'Broker Actual'!J34))</f>
        <v>4.9950000000000001</v>
      </c>
      <c r="H161" s="140">
        <f>CHOOSE(IF($B$1=2,2,1),'GAAP-IFRS'!K34,IF('Broker Actual'!K34="-",'GAAP-IFRS'!K34,'Broker Actual'!K34))</f>
        <v>4.8</v>
      </c>
      <c r="I161" s="140">
        <f>CHOOSE(IF($B$1=2,2,1),'GAAP-IFRS'!L34,IF('Broker Actual'!L34="-",'GAAP-IFRS'!L34,'Broker Actual'!L34))</f>
        <v>4.1920000000000002</v>
      </c>
      <c r="J161" s="140">
        <f>CHOOSE(IF($B$1=2,2,1),'GAAP-IFRS'!M34,IF('Broker Actual'!M34="-",'GAAP-IFRS'!M34,'Broker Actual'!M34))</f>
        <v>3.5680000000000001</v>
      </c>
      <c r="K161" s="140">
        <f>CHOOSE(IF($B$1=2,2,1),'GAAP-IFRS'!N34,IF('Broker Actual'!N34="-",'GAAP-IFRS'!N34,'Broker Actual'!N34))</f>
        <v>10.635999999999999</v>
      </c>
      <c r="L161" s="140">
        <f>CHOOSE(IF($B$1=2,2,1),'GAAP-IFRS'!O34,IF('Broker Actual'!O34="-",'GAAP-IFRS'!O34,'Broker Actual'!O34))</f>
        <v>10.577999999999999</v>
      </c>
      <c r="M161" s="124"/>
      <c r="N161" s="124"/>
      <c r="O161" s="124"/>
      <c r="P161" s="124"/>
      <c r="Q161" s="124"/>
      <c r="R161" s="124"/>
      <c r="S161" s="124"/>
      <c r="T161" s="124"/>
      <c r="U161" s="124"/>
      <c r="V161" s="124"/>
      <c r="W161" s="125"/>
      <c r="X161" s="126"/>
      <c r="Y161" s="126"/>
      <c r="Z161" s="124"/>
      <c r="AA161" s="124"/>
      <c r="AB161" s="124"/>
      <c r="AC161" s="124"/>
      <c r="AD161" s="124"/>
      <c r="AE161" s="127"/>
    </row>
    <row r="162" spans="1:31" outlineLevel="1" x14ac:dyDescent="0.3">
      <c r="A162" s="184" t="s">
        <v>144</v>
      </c>
      <c r="B162" s="140">
        <f>CHOOSE(IF($B$1=2,2,1),'GAAP-IFRS'!E35,IF('Broker Actual'!E35="-",'GAAP-IFRS'!E35,'Broker Actual'!E35))</f>
        <v>338.28800000000001</v>
      </c>
      <c r="C162" s="140">
        <f>CHOOSE(IF($B$1=2,2,1),'GAAP-IFRS'!F35,IF('Broker Actual'!F35="-",'GAAP-IFRS'!F35,'Broker Actual'!F35))</f>
        <v>510.30500000000001</v>
      </c>
      <c r="D162" s="140">
        <f>CHOOSE(IF($B$1=2,2,1),'GAAP-IFRS'!G35,IF('Broker Actual'!G35="-",'GAAP-IFRS'!G35,'Broker Actual'!G35))</f>
        <v>578.31700000000001</v>
      </c>
      <c r="E162" s="140">
        <f>CHOOSE(IF($B$1=2,2,1),'GAAP-IFRS'!H35,IF('Broker Actual'!H35="-",'GAAP-IFRS'!H35,'Broker Actual'!H35))</f>
        <v>609.78499999999997</v>
      </c>
      <c r="F162" s="140">
        <f>CHOOSE(IF($B$1=2,2,1),'GAAP-IFRS'!I35,IF('Broker Actual'!I35="-",'GAAP-IFRS'!I35,'Broker Actual'!I35))</f>
        <v>660.79899999999998</v>
      </c>
      <c r="G162" s="140">
        <f>CHOOSE(IF($B$1=2,2,1),'GAAP-IFRS'!J35,IF('Broker Actual'!J35="-",'GAAP-IFRS'!J35,'Broker Actual'!J35))</f>
        <v>729.56100000000004</v>
      </c>
      <c r="H162" s="140">
        <f>CHOOSE(IF($B$1=2,2,1),'GAAP-IFRS'!K35,IF('Broker Actual'!K35="-",'GAAP-IFRS'!K35,'Broker Actual'!K35))</f>
        <v>702.27</v>
      </c>
      <c r="I162" s="140">
        <f>CHOOSE(IF($B$1=2,2,1),'GAAP-IFRS'!L35,IF('Broker Actual'!L35="-",'GAAP-IFRS'!L35,'Broker Actual'!L35))</f>
        <v>662.29100000000005</v>
      </c>
      <c r="J162" s="140">
        <f>CHOOSE(IF($B$1=2,2,1),'GAAP-IFRS'!M35,IF('Broker Actual'!M35="-",'GAAP-IFRS'!M35,'Broker Actual'!M35))</f>
        <v>834.19299999999998</v>
      </c>
      <c r="K162" s="140">
        <f>CHOOSE(IF($B$1=2,2,1),'GAAP-IFRS'!N35,IF('Broker Actual'!N35="-",'GAAP-IFRS'!N35,'Broker Actual'!N35))</f>
        <v>1093.76</v>
      </c>
      <c r="L162" s="140">
        <f>CHOOSE(IF($B$1=2,2,1),'GAAP-IFRS'!O35,IF('Broker Actual'!O35="-",'GAAP-IFRS'!O35,'Broker Actual'!O35))</f>
        <v>1803.328</v>
      </c>
      <c r="M162" s="124"/>
      <c r="N162" s="124"/>
      <c r="O162" s="124"/>
      <c r="P162" s="124"/>
      <c r="Q162" s="124"/>
      <c r="R162" s="124"/>
      <c r="S162" s="124"/>
      <c r="T162" s="124"/>
      <c r="U162" s="124"/>
      <c r="V162" s="124"/>
      <c r="W162" s="158"/>
      <c r="X162" s="159"/>
      <c r="Y162" s="159"/>
      <c r="Z162" s="157" cm="1">
        <f t="array" ref="Z162">_xll.FDSC("--",$A$1,"FE_ESTIMATE(ASSETS,"&amp;D2&amp;",ANNUAL,1,NOW,,,'CURRENCY="&amp;$E$1&amp;"')")</f>
        <v>1730.8405</v>
      </c>
      <c r="AA162" s="157" t="e" cm="1">
        <f t="array" ref="AA162">_xll.FDSC("--",$A$1,"FE_ESTIMATE(ASSETS,"&amp;#REF!&amp;",ANNUAL,1,NOW,,,'CURRENCY="&amp;$E$1&amp;"')")</f>
        <v>#VALUE!</v>
      </c>
      <c r="AB162" s="157" cm="1">
        <f t="array" ref="AB162">_xll.FDSC("--",$A$1,"FE_ESTIMATE(ASSETS,"&amp;D2&amp;",ANNUAL,1,NOW,,,'CURRENCY="&amp;$E$1&amp;"')")</f>
        <v>1730.8405</v>
      </c>
      <c r="AC162" s="157"/>
      <c r="AD162" s="157"/>
      <c r="AE162" s="160"/>
    </row>
    <row r="163" spans="1:31" outlineLevel="1" x14ac:dyDescent="0.3">
      <c r="B163" s="140"/>
      <c r="C163" s="140"/>
      <c r="D163" s="140"/>
      <c r="E163" s="140"/>
      <c r="F163" s="140"/>
      <c r="G163" s="140"/>
      <c r="H163" s="140"/>
      <c r="I163" s="140"/>
      <c r="J163" s="140"/>
      <c r="K163" s="140"/>
      <c r="L163" s="140"/>
      <c r="M163" s="124"/>
      <c r="N163" s="124"/>
      <c r="O163" s="124"/>
      <c r="P163" s="124"/>
      <c r="Q163" s="124"/>
      <c r="R163" s="124"/>
      <c r="S163" s="124"/>
      <c r="T163" s="124"/>
      <c r="U163" s="124"/>
      <c r="V163" s="124"/>
      <c r="W163" s="185"/>
      <c r="X163" s="186"/>
      <c r="Y163" s="186"/>
      <c r="Z163" s="121"/>
      <c r="AA163" s="121"/>
      <c r="AB163" s="121"/>
      <c r="AC163" s="121"/>
      <c r="AD163" s="121"/>
      <c r="AE163" s="187"/>
    </row>
    <row r="164" spans="1:31" outlineLevel="1" x14ac:dyDescent="0.3">
      <c r="A164" s="182" t="s">
        <v>145</v>
      </c>
      <c r="B164" s="140">
        <f>CHOOSE(IF($B$1=2,2,1),'GAAP-IFRS'!E37,IF('Broker Actual'!E37="-",'GAAP-IFRS'!E37,'Broker Actual'!E37))</f>
        <v>1.377</v>
      </c>
      <c r="C164" s="140">
        <f>CHOOSE(IF($B$1=2,2,1),'GAAP-IFRS'!F37,IF('Broker Actual'!F37="-",'GAAP-IFRS'!F37,'Broker Actual'!F37))</f>
        <v>4.66</v>
      </c>
      <c r="D164" s="140">
        <f>CHOOSE(IF($B$1=2,2,1),'GAAP-IFRS'!G37,IF('Broker Actual'!G37="-",'GAAP-IFRS'!G37,'Broker Actual'!G37))</f>
        <v>0.218</v>
      </c>
      <c r="E164" s="140">
        <f>CHOOSE(IF($B$1=2,2,1),'GAAP-IFRS'!H37,IF('Broker Actual'!H37="-",'GAAP-IFRS'!H37,'Broker Actual'!H37))</f>
        <v>1.0840000000000001</v>
      </c>
      <c r="F164" s="140">
        <f>CHOOSE(IF($B$1=2,2,1),'GAAP-IFRS'!I37,IF('Broker Actual'!I37="-",'GAAP-IFRS'!I37,'Broker Actual'!I37))</f>
        <v>3.294</v>
      </c>
      <c r="G164" s="140">
        <f>CHOOSE(IF($B$1=2,2,1),'GAAP-IFRS'!J37,IF('Broker Actual'!J37="-",'GAAP-IFRS'!J37,'Broker Actual'!J37))</f>
        <v>1.4999999999999999E-2</v>
      </c>
      <c r="H164" s="140">
        <f>CHOOSE(IF($B$1=2,2,1),'GAAP-IFRS'!K37,IF('Broker Actual'!K37="-",'GAAP-IFRS'!K37,'Broker Actual'!K37))</f>
        <v>1.4E-2</v>
      </c>
      <c r="I164" s="140">
        <f>CHOOSE(IF($B$1=2,2,1),'GAAP-IFRS'!L37,IF('Broker Actual'!L37="-",'GAAP-IFRS'!L37,'Broker Actual'!L37))</f>
        <v>7.5999999999999998E-2</v>
      </c>
      <c r="J164" s="140">
        <f>CHOOSE(IF($B$1=2,2,1),'GAAP-IFRS'!M37,IF('Broker Actual'!M37="-",'GAAP-IFRS'!M37,'Broker Actual'!M37))</f>
        <v>8.6999999999999994E-2</v>
      </c>
      <c r="K164" s="140">
        <f>CHOOSE(IF($B$1=2,2,1),'GAAP-IFRS'!N37,IF('Broker Actual'!N37="-",'GAAP-IFRS'!N37,'Broker Actual'!N37))</f>
        <v>23.335000000000001</v>
      </c>
      <c r="L164" s="140">
        <f>CHOOSE(IF($B$1=2,2,1),'GAAP-IFRS'!O37,IF('Broker Actual'!O37="-",'GAAP-IFRS'!O37,'Broker Actual'!O37))</f>
        <v>26.251999999999999</v>
      </c>
      <c r="M164" s="141">
        <f>M165*M$57</f>
        <v>27.595857200000001</v>
      </c>
      <c r="N164" s="141">
        <f t="shared" ref="N164:Q164" si="237">N165*N$57</f>
        <v>28.523812419200002</v>
      </c>
      <c r="O164" s="141">
        <f t="shared" si="237"/>
        <v>21.476004861744002</v>
      </c>
      <c r="P164" s="141">
        <f t="shared" si="237"/>
        <v>23.219375725072805</v>
      </c>
      <c r="Q164" s="141">
        <f t="shared" si="237"/>
        <v>25.485136034725091</v>
      </c>
      <c r="R164" s="124"/>
      <c r="S164" s="124"/>
      <c r="T164" s="124"/>
      <c r="U164" s="124"/>
      <c r="V164" s="124"/>
      <c r="W164" s="125"/>
      <c r="X164" s="126"/>
      <c r="Y164" s="126"/>
      <c r="Z164" s="124"/>
      <c r="AA164" s="124"/>
      <c r="AB164" s="124"/>
      <c r="AC164" s="124"/>
      <c r="AD164" s="124"/>
      <c r="AE164" s="127"/>
    </row>
    <row r="165" spans="1:31" outlineLevel="1" x14ac:dyDescent="0.3">
      <c r="A165" s="183" t="s">
        <v>137</v>
      </c>
      <c r="B165" s="130">
        <f>B164/B57</f>
        <v>5.8945151472344576E-3</v>
      </c>
      <c r="C165" s="130">
        <f t="shared" ref="C165:L165" si="238">C164/C$57</f>
        <v>1.9329041677727636E-2</v>
      </c>
      <c r="D165" s="130">
        <f t="shared" si="238"/>
        <v>8.1921625806063699E-4</v>
      </c>
      <c r="E165" s="130">
        <f t="shared" si="238"/>
        <v>3.7908460161145928E-3</v>
      </c>
      <c r="F165" s="130">
        <f t="shared" si="238"/>
        <v>1.2456229249071643E-2</v>
      </c>
      <c r="G165" s="130">
        <f t="shared" si="238"/>
        <v>6.1373288708133189E-5</v>
      </c>
      <c r="H165" s="130">
        <f t="shared" si="238"/>
        <v>6.0529547066046383E-5</v>
      </c>
      <c r="I165" s="130">
        <f t="shared" si="238"/>
        <v>3.1343566732928069E-4</v>
      </c>
      <c r="J165" s="130">
        <f t="shared" si="238"/>
        <v>2.8025009905391428E-4</v>
      </c>
      <c r="K165" s="130">
        <f t="shared" si="238"/>
        <v>5.7205545272912245E-2</v>
      </c>
      <c r="L165" s="130">
        <f t="shared" si="238"/>
        <v>5.2549928637629285E-2</v>
      </c>
      <c r="M165" s="188">
        <v>0.05</v>
      </c>
      <c r="N165" s="188">
        <v>0.04</v>
      </c>
      <c r="O165" s="189">
        <v>0.03</v>
      </c>
      <c r="P165" s="189">
        <f t="shared" ref="P165:Q165" si="239">O165</f>
        <v>0.03</v>
      </c>
      <c r="Q165" s="189">
        <f t="shared" si="239"/>
        <v>0.03</v>
      </c>
      <c r="R165" s="124"/>
      <c r="S165" s="124"/>
      <c r="T165" s="124"/>
      <c r="U165" s="124"/>
      <c r="V165" s="124"/>
      <c r="W165" s="125"/>
      <c r="X165" s="126"/>
      <c r="Y165" s="126"/>
      <c r="Z165" s="124"/>
      <c r="AA165" s="124"/>
      <c r="AB165" s="124"/>
      <c r="AC165" s="124"/>
      <c r="AD165" s="124"/>
      <c r="AE165" s="127"/>
    </row>
    <row r="166" spans="1:31" outlineLevel="1" x14ac:dyDescent="0.3">
      <c r="A166" s="182" t="s">
        <v>146</v>
      </c>
      <c r="B166" s="140">
        <f>CHOOSE(IF($B$1=2,2,1),'GAAP-IFRS'!E38,IF('Broker Actual'!E38="-",'GAAP-IFRS'!E38,'Broker Actual'!E38))</f>
        <v>54.441000000000003</v>
      </c>
      <c r="C166" s="140">
        <f>CHOOSE(IF($B$1=2,2,1),'GAAP-IFRS'!F38,IF('Broker Actual'!F38="-",'GAAP-IFRS'!F38,'Broker Actual'!F38))</f>
        <v>52.94</v>
      </c>
      <c r="D166" s="140">
        <f>CHOOSE(IF($B$1=2,2,1),'GAAP-IFRS'!G38,IF('Broker Actual'!G38="-",'GAAP-IFRS'!G38,'Broker Actual'!G38))</f>
        <v>53.951999999999998</v>
      </c>
      <c r="E166" s="140">
        <f>CHOOSE(IF($B$1=2,2,1),'GAAP-IFRS'!H38,IF('Broker Actual'!H38="-",'GAAP-IFRS'!H38,'Broker Actual'!H38))</f>
        <v>59.09</v>
      </c>
      <c r="F166" s="140">
        <f>CHOOSE(IF($B$1=2,2,1),'GAAP-IFRS'!I38,IF('Broker Actual'!I38="-",'GAAP-IFRS'!I38,'Broker Actual'!I38))</f>
        <v>81.081999999999994</v>
      </c>
      <c r="G166" s="140">
        <f>CHOOSE(IF($B$1=2,2,1),'GAAP-IFRS'!J38,IF('Broker Actual'!J38="-",'GAAP-IFRS'!J38,'Broker Actual'!J38))</f>
        <v>116.458</v>
      </c>
      <c r="H166" s="140">
        <f>CHOOSE(IF($B$1=2,2,1),'GAAP-IFRS'!K38,IF('Broker Actual'!K38="-",'GAAP-IFRS'!K38,'Broker Actual'!K38))</f>
        <v>181.488</v>
      </c>
      <c r="I166" s="140">
        <f>CHOOSE(IF($B$1=2,2,1),'GAAP-IFRS'!L38,IF('Broker Actual'!L38="-",'GAAP-IFRS'!L38,'Broker Actual'!L38))</f>
        <v>102.494</v>
      </c>
      <c r="J166" s="140">
        <f>CHOOSE(IF($B$1=2,2,1),'GAAP-IFRS'!M38,IF('Broker Actual'!M38="-",'GAAP-IFRS'!M38,'Broker Actual'!M38))</f>
        <v>139.98500000000001</v>
      </c>
      <c r="K166" s="140">
        <f>CHOOSE(IF($B$1=2,2,1),'GAAP-IFRS'!N38,IF('Broker Actual'!N38="-",'GAAP-IFRS'!N38,'Broker Actual'!N38))</f>
        <v>201.75299999999999</v>
      </c>
      <c r="L166" s="140">
        <f>CHOOSE(IF($B$1=2,2,1),'GAAP-IFRS'!O38,IF('Broker Actual'!O38="-",'GAAP-IFRS'!O38,'Broker Actual'!O38))</f>
        <v>237.21899999999999</v>
      </c>
      <c r="M166" s="140"/>
      <c r="N166" s="124"/>
      <c r="O166" s="124"/>
      <c r="P166" s="124"/>
      <c r="Q166" s="124"/>
      <c r="R166" s="124"/>
      <c r="S166" s="124"/>
      <c r="T166" s="124"/>
      <c r="U166" s="124"/>
      <c r="V166" s="124"/>
      <c r="W166" s="125"/>
      <c r="X166" s="126" t="s">
        <v>91</v>
      </c>
      <c r="Y166" s="126" t="s">
        <v>147</v>
      </c>
      <c r="Z166" s="124" t="str" cm="1">
        <f t="array" ref="Z166">_xll.FDSC("--",$A$1,""&amp;$X166&amp;"("&amp;$Y166&amp;","&amp;D$2&amp;",ANNUAL_ROLL,+1,0,,,'CURRENCY="&amp;$E$1&amp;"')")</f>
        <v>--</v>
      </c>
      <c r="AA166" s="124" t="str" cm="1">
        <f t="array" ref="AA166">_xll.FDSC("--",$A$1,""&amp;$X166&amp;"("&amp;$Y166&amp;","&amp;D$2&amp;",ANNUAL_ROLL,+2,0,,,'CURRENCY="&amp;$E$1&amp;"')")</f>
        <v>--</v>
      </c>
      <c r="AB166" s="124" t="str" cm="1">
        <f t="array" ref="AB166">_xll.FDSC("--",$A$1,""&amp;$X166&amp;"("&amp;$Y166&amp;","&amp;D$2&amp;",ANNUAL_ROLL,+3,0,,,'CURRENCY="&amp;$E$1&amp;"')")</f>
        <v>--</v>
      </c>
      <c r="AC166" s="124"/>
      <c r="AD166" s="124"/>
      <c r="AE166" s="127"/>
    </row>
    <row r="167" spans="1:31" outlineLevel="1" x14ac:dyDescent="0.3">
      <c r="A167" s="182" t="s">
        <v>148</v>
      </c>
      <c r="B167" s="140">
        <f>CHOOSE(IF($B$1=2,2,1),'GAAP-IFRS'!E39,IF('Broker Actual'!E39="-",'GAAP-IFRS'!E39,'Broker Actual'!E39))</f>
        <v>0</v>
      </c>
      <c r="C167" s="140">
        <f>CHOOSE(IF($B$1=2,2,1),'GAAP-IFRS'!F39,IF('Broker Actual'!F39="-",'GAAP-IFRS'!F39,'Broker Actual'!F39))</f>
        <v>0</v>
      </c>
      <c r="D167" s="140">
        <f>CHOOSE(IF($B$1=2,2,1),'GAAP-IFRS'!G39,IF('Broker Actual'!G39="-",'GAAP-IFRS'!G39,'Broker Actual'!G39))</f>
        <v>0</v>
      </c>
      <c r="E167" s="140">
        <f>CHOOSE(IF($B$1=2,2,1),'GAAP-IFRS'!H39,IF('Broker Actual'!H39="-",'GAAP-IFRS'!H39,'Broker Actual'!H39))</f>
        <v>0</v>
      </c>
      <c r="F167" s="140">
        <f>CHOOSE(IF($B$1=2,2,1),'GAAP-IFRS'!I39,IF('Broker Actual'!I39="-",'GAAP-IFRS'!I39,'Broker Actual'!I39))</f>
        <v>0.78300000000000003</v>
      </c>
      <c r="G167" s="140">
        <f>CHOOSE(IF($B$1=2,2,1),'GAAP-IFRS'!J39,IF('Broker Actual'!J39="-",'GAAP-IFRS'!J39,'Broker Actual'!J39))</f>
        <v>1.0489999999999999</v>
      </c>
      <c r="H167" s="140">
        <f>CHOOSE(IF($B$1=2,2,1),'GAAP-IFRS'!K39,IF('Broker Actual'!K39="-",'GAAP-IFRS'!K39,'Broker Actual'!K39))</f>
        <v>91.316000000000003</v>
      </c>
      <c r="I167" s="140">
        <f>CHOOSE(IF($B$1=2,2,1),'GAAP-IFRS'!L39,IF('Broker Actual'!L39="-",'GAAP-IFRS'!L39,'Broker Actual'!L39))</f>
        <v>10.34</v>
      </c>
      <c r="J167" s="140">
        <f>CHOOSE(IF($B$1=2,2,1),'GAAP-IFRS'!M39,IF('Broker Actual'!M39="-",'GAAP-IFRS'!M39,'Broker Actual'!M39))</f>
        <v>2.694</v>
      </c>
      <c r="K167" s="140">
        <f>CHOOSE(IF($B$1=2,2,1),'GAAP-IFRS'!N39,IF('Broker Actual'!N39="-",'GAAP-IFRS'!N39,'Broker Actual'!N39))</f>
        <v>2.4500000000000002</v>
      </c>
      <c r="L167" s="140">
        <f>CHOOSE(IF($B$1=2,2,1),'GAAP-IFRS'!O39,IF('Broker Actual'!O39="-",'GAAP-IFRS'!O39,'Broker Actual'!O39))</f>
        <v>1.1639999999999999</v>
      </c>
      <c r="M167" s="141">
        <f>L167</f>
        <v>1.1639999999999999</v>
      </c>
      <c r="N167" s="141">
        <f>M167</f>
        <v>1.1639999999999999</v>
      </c>
      <c r="O167" s="141">
        <f t="shared" ref="O167:Q167" si="240">N167</f>
        <v>1.1639999999999999</v>
      </c>
      <c r="P167" s="141">
        <f t="shared" si="240"/>
        <v>1.1639999999999999</v>
      </c>
      <c r="Q167" s="141">
        <f t="shared" si="240"/>
        <v>1.1639999999999999</v>
      </c>
      <c r="R167" s="124"/>
      <c r="S167" s="124"/>
      <c r="T167" s="124"/>
      <c r="U167" s="124"/>
      <c r="V167" s="124"/>
      <c r="W167" s="125"/>
      <c r="X167" s="126"/>
      <c r="Y167" s="126"/>
      <c r="Z167" s="124"/>
      <c r="AA167" s="124"/>
      <c r="AB167" s="124"/>
      <c r="AC167" s="124"/>
      <c r="AD167" s="124"/>
      <c r="AE167" s="127"/>
    </row>
    <row r="168" spans="1:31" outlineLevel="1" x14ac:dyDescent="0.3">
      <c r="A168" s="182" t="s">
        <v>149</v>
      </c>
      <c r="B168" s="140">
        <f>CHOOSE(IF($B$1=2,2,1),'GAAP-IFRS'!E40,IF('Broker Actual'!E40="-",'GAAP-IFRS'!E40,'Broker Actual'!E40))</f>
        <v>0</v>
      </c>
      <c r="C168" s="140">
        <f>CHOOSE(IF($B$1=2,2,1),'GAAP-IFRS'!F40,IF('Broker Actual'!F40="-",'GAAP-IFRS'!F40,'Broker Actual'!F40))</f>
        <v>126.932</v>
      </c>
      <c r="D168" s="140">
        <f>CHOOSE(IF($B$1=2,2,1),'GAAP-IFRS'!G40,IF('Broker Actual'!G40="-",'GAAP-IFRS'!G40,'Broker Actual'!G40))</f>
        <v>125.886</v>
      </c>
      <c r="E168" s="140">
        <f>CHOOSE(IF($B$1=2,2,1),'GAAP-IFRS'!H40,IF('Broker Actual'!H40="-",'GAAP-IFRS'!H40,'Broker Actual'!H40))</f>
        <v>129.429</v>
      </c>
      <c r="F168" s="140">
        <f>CHOOSE(IF($B$1=2,2,1),'GAAP-IFRS'!I40,IF('Broker Actual'!I40="-",'GAAP-IFRS'!I40,'Broker Actual'!I40))</f>
        <v>138.08000000000001</v>
      </c>
      <c r="G168" s="140">
        <f>CHOOSE(IF($B$1=2,2,1),'GAAP-IFRS'!J40,IF('Broker Actual'!J40="-",'GAAP-IFRS'!J40,'Broker Actual'!J40))</f>
        <v>236.786</v>
      </c>
      <c r="H168" s="140">
        <f>CHOOSE(IF($B$1=2,2,1),'GAAP-IFRS'!K40,IF('Broker Actual'!K40="-",'GAAP-IFRS'!K40,'Broker Actual'!K40))</f>
        <v>158.834</v>
      </c>
      <c r="I168" s="140">
        <f>CHOOSE(IF($B$1=2,2,1),'GAAP-IFRS'!L40,IF('Broker Actual'!L40="-",'GAAP-IFRS'!L40,'Broker Actual'!L40))</f>
        <v>163.10499999999999</v>
      </c>
      <c r="J168" s="140">
        <f>CHOOSE(IF($B$1=2,2,1),'GAAP-IFRS'!M40,IF('Broker Actual'!M40="-",'GAAP-IFRS'!M40,'Broker Actual'!M40))</f>
        <v>181.58099999999999</v>
      </c>
      <c r="K168" s="140">
        <f>CHOOSE(IF($B$1=2,2,1),'GAAP-IFRS'!N40,IF('Broker Actual'!N40="-",'GAAP-IFRS'!N40,'Broker Actual'!N40))</f>
        <v>60.256999999999998</v>
      </c>
      <c r="L168" s="140">
        <f>CHOOSE(IF($B$1=2,2,1),'GAAP-IFRS'!O40,IF('Broker Actual'!O40="-",'GAAP-IFRS'!O40,'Broker Actual'!O40))</f>
        <v>211.244</v>
      </c>
      <c r="M168" s="141">
        <f>L168+M243</f>
        <v>192.11231805857196</v>
      </c>
      <c r="N168" s="141">
        <f>M168+N243</f>
        <v>154.96169151955468</v>
      </c>
      <c r="O168" s="141">
        <f>N168+O243</f>
        <v>117.00774064369665</v>
      </c>
      <c r="P168" s="141">
        <f>O168+P243</f>
        <v>63.223738324470567</v>
      </c>
      <c r="Q168" s="141">
        <f>P168+Q243</f>
        <v>0.29342309058940685</v>
      </c>
      <c r="R168" s="124"/>
      <c r="S168" s="124"/>
      <c r="T168" s="124"/>
      <c r="U168" s="124"/>
      <c r="V168" s="124"/>
      <c r="W168" s="125"/>
      <c r="X168" s="126"/>
      <c r="Y168" s="126"/>
      <c r="Z168" s="124"/>
      <c r="AA168" s="124"/>
      <c r="AB168" s="124"/>
      <c r="AC168" s="124"/>
      <c r="AD168" s="124"/>
      <c r="AE168" s="127"/>
    </row>
    <row r="169" spans="1:31" outlineLevel="1" x14ac:dyDescent="0.3">
      <c r="A169" s="79" t="s">
        <v>150</v>
      </c>
      <c r="B169" s="140">
        <f>CHOOSE(IF($B$1=2,2,1),'GAAP-IFRS'!E41,IF('Broker Actual'!E41="-",'GAAP-IFRS'!E41,'Broker Actual'!E41))</f>
        <v>0</v>
      </c>
      <c r="C169" s="140">
        <f>CHOOSE(IF($B$1=2,2,1),'GAAP-IFRS'!F41,IF('Broker Actual'!F41="-",'GAAP-IFRS'!F41,'Broker Actual'!F41))</f>
        <v>126.932</v>
      </c>
      <c r="D169" s="140">
        <f>CHOOSE(IF($B$1=2,2,1),'GAAP-IFRS'!G41,IF('Broker Actual'!G41="-",'GAAP-IFRS'!G41,'Broker Actual'!G41))</f>
        <v>125.886</v>
      </c>
      <c r="E169" s="140">
        <f>CHOOSE(IF($B$1=2,2,1),'GAAP-IFRS'!H41,IF('Broker Actual'!H41="-",'GAAP-IFRS'!H41,'Broker Actual'!H41))</f>
        <v>129.429</v>
      </c>
      <c r="F169" s="140">
        <f>CHOOSE(IF($B$1=2,2,1),'GAAP-IFRS'!I41,IF('Broker Actual'!I41="-",'GAAP-IFRS'!I41,'Broker Actual'!I41))</f>
        <v>138.863</v>
      </c>
      <c r="G169" s="140">
        <f>CHOOSE(IF($B$1=2,2,1),'GAAP-IFRS'!J41,IF('Broker Actual'!J41="-",'GAAP-IFRS'!J41,'Broker Actual'!J41))</f>
        <v>237.83500000000001</v>
      </c>
      <c r="H169" s="140">
        <f>CHOOSE(IF($B$1=2,2,1),'GAAP-IFRS'!K41,IF('Broker Actual'!K41="-",'GAAP-IFRS'!K41,'Broker Actual'!K41))</f>
        <v>250.15</v>
      </c>
      <c r="I169" s="140">
        <f>CHOOSE(IF($B$1=2,2,1),'GAAP-IFRS'!L41,IF('Broker Actual'!L41="-",'GAAP-IFRS'!L41,'Broker Actual'!L41))</f>
        <v>173.44499999999999</v>
      </c>
      <c r="J169" s="140">
        <f>CHOOSE(IF($B$1=2,2,1),'GAAP-IFRS'!M41,IF('Broker Actual'!M41="-",'GAAP-IFRS'!M41,'Broker Actual'!M41))</f>
        <v>184.27500000000001</v>
      </c>
      <c r="K169" s="140">
        <f>CHOOSE(IF($B$1=2,2,1),'GAAP-IFRS'!N41,IF('Broker Actual'!N41="-",'GAAP-IFRS'!N41,'Broker Actual'!N41))</f>
        <v>62.707000000000001</v>
      </c>
      <c r="L169" s="140">
        <f>CHOOSE(IF($B$1=2,2,1),'GAAP-IFRS'!O41,IF('Broker Actual'!O41="-",'GAAP-IFRS'!O41,'Broker Actual'!O41))</f>
        <v>212.40799999999999</v>
      </c>
      <c r="M169" s="141">
        <f>SUM(M167:M168)</f>
        <v>193.27631805857195</v>
      </c>
      <c r="N169" s="141">
        <f t="shared" ref="N169:Q169" si="241">SUM(N167:N168)</f>
        <v>156.12569151955466</v>
      </c>
      <c r="O169" s="141">
        <f t="shared" si="241"/>
        <v>118.17174064369665</v>
      </c>
      <c r="P169" s="141">
        <f t="shared" si="241"/>
        <v>64.387738324470561</v>
      </c>
      <c r="Q169" s="141">
        <f t="shared" si="241"/>
        <v>1.4574230905894068</v>
      </c>
      <c r="R169" s="124"/>
      <c r="S169" s="124"/>
      <c r="T169" s="124"/>
      <c r="U169" s="124"/>
      <c r="V169" s="124"/>
      <c r="W169" s="125"/>
      <c r="X169" s="126" t="s">
        <v>91</v>
      </c>
      <c r="Y169" s="126" t="s">
        <v>151</v>
      </c>
      <c r="Z169" s="124" t="str" cm="1">
        <f t="array" ref="Z169">_xll.FDSC("--",$A$1,""&amp;$X169&amp;"("&amp;$Y169&amp;","&amp;D$2&amp;",ANNUAL_ROLL,+1,0,,,'CURRENCY="&amp;$E$1&amp;"')")</f>
        <v>--</v>
      </c>
      <c r="AA169" s="124" t="str" cm="1">
        <f t="array" ref="AA169">_xll.FDSC("--",$A$1,""&amp;$X169&amp;"("&amp;$Y169&amp;","&amp;D$2&amp;",ANNUAL_ROLL,+2,0,,,'CURRENCY="&amp;$E$1&amp;"')")</f>
        <v>--</v>
      </c>
      <c r="AB169" s="124" t="str" cm="1">
        <f t="array" ref="AB169">_xll.FDSC("--",$A$1,""&amp;$X169&amp;"("&amp;$Y169&amp;","&amp;D$2&amp;",ANNUAL_ROLL,+3,0,,,'CURRENCY="&amp;$E$1&amp;"')")</f>
        <v>--</v>
      </c>
      <c r="AC169" s="124"/>
      <c r="AD169" s="124"/>
      <c r="AE169" s="127"/>
    </row>
    <row r="170" spans="1:31" outlineLevel="1" x14ac:dyDescent="0.3">
      <c r="A170" s="184" t="s">
        <v>152</v>
      </c>
      <c r="B170" s="140">
        <f>CHOOSE(IF($B$1=2,2,1),'GAAP-IFRS'!E42,IF('Broker Actual'!E42="-",'GAAP-IFRS'!E42,'Broker Actual'!E42))</f>
        <v>214.952</v>
      </c>
      <c r="C170" s="140">
        <f>CHOOSE(IF($B$1=2,2,1),'GAAP-IFRS'!F42,IF('Broker Actual'!F42="-",'GAAP-IFRS'!F42,'Broker Actual'!F42))</f>
        <v>349.78399999999999</v>
      </c>
      <c r="D170" s="140">
        <f>CHOOSE(IF($B$1=2,2,1),'GAAP-IFRS'!G42,IF('Broker Actual'!G42="-",'GAAP-IFRS'!G42,'Broker Actual'!G42))</f>
        <v>395.73200000000003</v>
      </c>
      <c r="E170" s="140">
        <f>CHOOSE(IF($B$1=2,2,1),'GAAP-IFRS'!H42,IF('Broker Actual'!H42="-",'GAAP-IFRS'!H42,'Broker Actual'!H42))</f>
        <v>372.06299999999999</v>
      </c>
      <c r="F170" s="140">
        <f>CHOOSE(IF($B$1=2,2,1),'GAAP-IFRS'!I42,IF('Broker Actual'!I42="-",'GAAP-IFRS'!I42,'Broker Actual'!I42))</f>
        <v>417.053</v>
      </c>
      <c r="G170" s="140">
        <f>CHOOSE(IF($B$1=2,2,1),'GAAP-IFRS'!J42,IF('Broker Actual'!J42="-",'GAAP-IFRS'!J42,'Broker Actual'!J42))</f>
        <v>535.58600000000001</v>
      </c>
      <c r="H170" s="140">
        <f>CHOOSE(IF($B$1=2,2,1),'GAAP-IFRS'!K42,IF('Broker Actual'!K42="-",'GAAP-IFRS'!K42,'Broker Actual'!K42))</f>
        <v>520.82899999999995</v>
      </c>
      <c r="I170" s="140">
        <f>CHOOSE(IF($B$1=2,2,1),'GAAP-IFRS'!L42,IF('Broker Actual'!L42="-",'GAAP-IFRS'!L42,'Broker Actual'!L42))</f>
        <v>476.74799999999999</v>
      </c>
      <c r="J170" s="140">
        <f>CHOOSE(IF($B$1=2,2,1),'GAAP-IFRS'!M42,IF('Broker Actual'!M42="-",'GAAP-IFRS'!M42,'Broker Actual'!M42))</f>
        <v>633.05700000000002</v>
      </c>
      <c r="K170" s="140">
        <f>CHOOSE(IF($B$1=2,2,1),'GAAP-IFRS'!N42,IF('Broker Actual'!N42="-",'GAAP-IFRS'!N42,'Broker Actual'!N42))</f>
        <v>679.30200000000002</v>
      </c>
      <c r="L170" s="140">
        <f>CHOOSE(IF($B$1=2,2,1),'GAAP-IFRS'!O42,IF('Broker Actual'!O42="-",'GAAP-IFRS'!O42,'Broker Actual'!O42))</f>
        <v>823.85799999999995</v>
      </c>
      <c r="M170" s="124"/>
      <c r="N170" s="124"/>
      <c r="O170" s="124"/>
      <c r="P170" s="124"/>
      <c r="Q170" s="124"/>
      <c r="R170" s="124"/>
      <c r="S170" s="124"/>
      <c r="T170" s="124"/>
      <c r="U170" s="124"/>
      <c r="V170" s="124"/>
      <c r="W170" s="158"/>
      <c r="X170" s="159"/>
      <c r="Y170" s="159"/>
      <c r="Z170" s="157"/>
      <c r="AA170" s="157"/>
      <c r="AB170" s="157"/>
      <c r="AC170" s="157"/>
      <c r="AD170" s="157"/>
      <c r="AE170" s="160"/>
    </row>
    <row r="171" spans="1:31" outlineLevel="1" x14ac:dyDescent="0.3">
      <c r="A171" s="182"/>
      <c r="B171" s="124"/>
      <c r="C171" s="124"/>
      <c r="D171" s="124"/>
      <c r="E171" s="124"/>
      <c r="F171" s="124"/>
      <c r="G171" s="124"/>
      <c r="H171" s="124"/>
      <c r="I171" s="124"/>
      <c r="J171" s="124"/>
      <c r="K171" s="124"/>
      <c r="L171" s="124"/>
      <c r="M171" s="124"/>
      <c r="N171" s="124"/>
      <c r="O171" s="124"/>
      <c r="P171" s="124"/>
      <c r="Q171" s="124"/>
      <c r="R171" s="124"/>
      <c r="S171" s="124"/>
      <c r="T171" s="124"/>
      <c r="U171" s="124"/>
      <c r="V171" s="124"/>
      <c r="W171" s="190"/>
      <c r="X171" s="126"/>
      <c r="Y171" s="126"/>
      <c r="Z171" s="124"/>
      <c r="AA171" s="124"/>
      <c r="AB171" s="124"/>
      <c r="AC171" s="124"/>
      <c r="AD171" s="124"/>
      <c r="AE171" s="127"/>
    </row>
    <row r="172" spans="1:31" outlineLevel="1" x14ac:dyDescent="0.3">
      <c r="A172" s="182" t="s">
        <v>153</v>
      </c>
      <c r="B172" s="140">
        <f>CHOOSE(IF($B$1=2,2,1),'GAAP-IFRS'!E44,IF('Broker Actual'!E44="-",'GAAP-IFRS'!E44,'Broker Actual'!E44))</f>
        <v>0</v>
      </c>
      <c r="C172" s="140">
        <f>CHOOSE(IF($B$1=2,2,1),'GAAP-IFRS'!F44,IF('Broker Actual'!F44="-",'GAAP-IFRS'!F44,'Broker Actual'!F44))</f>
        <v>0</v>
      </c>
      <c r="D172" s="140">
        <f>CHOOSE(IF($B$1=2,2,1),'GAAP-IFRS'!G44,IF('Broker Actual'!G44="-",'GAAP-IFRS'!G44,'Broker Actual'!G44))</f>
        <v>0</v>
      </c>
      <c r="E172" s="140">
        <f>CHOOSE(IF($B$1=2,2,1),'GAAP-IFRS'!H44,IF('Broker Actual'!H44="-",'GAAP-IFRS'!H44,'Broker Actual'!H44))</f>
        <v>0</v>
      </c>
      <c r="F172" s="140">
        <f>CHOOSE(IF($B$1=2,2,1),'GAAP-IFRS'!I44,IF('Broker Actual'!I44="-",'GAAP-IFRS'!I44,'Broker Actual'!I44))</f>
        <v>0</v>
      </c>
      <c r="G172" s="140">
        <f>CHOOSE(IF($B$1=2,2,1),'GAAP-IFRS'!J44,IF('Broker Actual'!J44="-",'GAAP-IFRS'!J44,'Broker Actual'!J44))</f>
        <v>0</v>
      </c>
      <c r="H172" s="140">
        <f>CHOOSE(IF($B$1=2,2,1),'GAAP-IFRS'!K44,IF('Broker Actual'!K44="-",'GAAP-IFRS'!K44,'Broker Actual'!K44))</f>
        <v>0</v>
      </c>
      <c r="I172" s="140">
        <f>CHOOSE(IF($B$1=2,2,1),'GAAP-IFRS'!L44,IF('Broker Actual'!L44="-",'GAAP-IFRS'!L44,'Broker Actual'!L44))</f>
        <v>0</v>
      </c>
      <c r="J172" s="140">
        <f>CHOOSE(IF($B$1=2,2,1),'GAAP-IFRS'!M44,IF('Broker Actual'!M44="-",'GAAP-IFRS'!M44,'Broker Actual'!M44))</f>
        <v>0</v>
      </c>
      <c r="K172" s="140">
        <f>CHOOSE(IF($B$1=2,2,1),'GAAP-IFRS'!N44,IF('Broker Actual'!N44="-",'GAAP-IFRS'!N44,'Broker Actual'!N44))</f>
        <v>0</v>
      </c>
      <c r="L172" s="140">
        <f>CHOOSE(IF($B$1=2,2,1),'GAAP-IFRS'!O44,IF('Broker Actual'!O44="-",'GAAP-IFRS'!O44,'Broker Actual'!O44))</f>
        <v>0</v>
      </c>
      <c r="M172" s="124"/>
      <c r="N172" s="124"/>
      <c r="O172" s="124"/>
      <c r="P172" s="124"/>
      <c r="Q172" s="124"/>
      <c r="R172" s="124"/>
      <c r="S172" s="124"/>
      <c r="T172" s="124"/>
      <c r="U172" s="124"/>
      <c r="V172" s="124"/>
      <c r="W172" s="125"/>
      <c r="X172" s="126"/>
      <c r="Y172" s="126"/>
      <c r="Z172" s="124"/>
      <c r="AA172" s="124"/>
      <c r="AB172" s="124"/>
      <c r="AC172" s="124"/>
      <c r="AD172" s="124"/>
      <c r="AE172" s="127"/>
    </row>
    <row r="173" spans="1:31" outlineLevel="1" x14ac:dyDescent="0.3">
      <c r="A173" s="182" t="s">
        <v>154</v>
      </c>
      <c r="B173" s="140">
        <f>CHOOSE(IF($B$1=2,2,1),'GAAP-IFRS'!E45,IF('Broker Actual'!E45="-",'GAAP-IFRS'!E45,'Broker Actual'!E45))</f>
        <v>120.755</v>
      </c>
      <c r="C173" s="140">
        <f>CHOOSE(IF($B$1=2,2,1),'GAAP-IFRS'!F45,IF('Broker Actual'!F45="-",'GAAP-IFRS'!F45,'Broker Actual'!F45))</f>
        <v>160.5</v>
      </c>
      <c r="D173" s="140">
        <f>CHOOSE(IF($B$1=2,2,1),'GAAP-IFRS'!G45,IF('Broker Actual'!G45="-",'GAAP-IFRS'!G45,'Broker Actual'!G45))</f>
        <v>182.58500000000001</v>
      </c>
      <c r="E173" s="140">
        <f>CHOOSE(IF($B$1=2,2,1),'GAAP-IFRS'!H45,IF('Broker Actual'!H45="-",'GAAP-IFRS'!H45,'Broker Actual'!H45))</f>
        <v>237.72200000000001</v>
      </c>
      <c r="F173" s="140">
        <f>CHOOSE(IF($B$1=2,2,1),'GAAP-IFRS'!I45,IF('Broker Actual'!I45="-",'GAAP-IFRS'!I45,'Broker Actual'!I45))</f>
        <v>243.74600000000001</v>
      </c>
      <c r="G173" s="140">
        <f>CHOOSE(IF($B$1=2,2,1),'GAAP-IFRS'!J45,IF('Broker Actual'!J45="-",'GAAP-IFRS'!J45,'Broker Actual'!J45))</f>
        <v>193.97499999999999</v>
      </c>
      <c r="H173" s="140">
        <f>CHOOSE(IF($B$1=2,2,1),'GAAP-IFRS'!K45,IF('Broker Actual'!K45="-",'GAAP-IFRS'!K45,'Broker Actual'!K45))</f>
        <v>181.441</v>
      </c>
      <c r="I173" s="140">
        <f>CHOOSE(IF($B$1=2,2,1),'GAAP-IFRS'!L45,IF('Broker Actual'!L45="-",'GAAP-IFRS'!L45,'Broker Actual'!L45))</f>
        <v>185.54300000000001</v>
      </c>
      <c r="J173" s="140">
        <f>CHOOSE(IF($B$1=2,2,1),'GAAP-IFRS'!M45,IF('Broker Actual'!M45="-",'GAAP-IFRS'!M45,'Broker Actual'!M45))</f>
        <v>201.136</v>
      </c>
      <c r="K173" s="140">
        <f>CHOOSE(IF($B$1=2,2,1),'GAAP-IFRS'!N45,IF('Broker Actual'!N45="-",'GAAP-IFRS'!N45,'Broker Actual'!N45))</f>
        <v>323.36500000000001</v>
      </c>
      <c r="L173" s="140">
        <f>CHOOSE(IF($B$1=2,2,1),'GAAP-IFRS'!O45,IF('Broker Actual'!O45="-",'GAAP-IFRS'!O45,'Broker Actual'!O45))</f>
        <v>162.596</v>
      </c>
      <c r="M173" s="124"/>
      <c r="N173" s="124"/>
      <c r="O173" s="124"/>
      <c r="P173" s="124"/>
      <c r="Q173" s="124"/>
      <c r="R173" s="124"/>
      <c r="S173" s="124"/>
      <c r="T173" s="124"/>
      <c r="U173" s="124"/>
      <c r="V173" s="124"/>
      <c r="W173" s="125"/>
      <c r="X173" s="126" t="s">
        <v>91</v>
      </c>
      <c r="Y173" s="126" t="s">
        <v>155</v>
      </c>
      <c r="Z173" s="124" cm="1">
        <f t="array" ref="Z173">_xll.FDSC("--",$A$1,""&amp;$X173&amp;"("&amp;$Y173&amp;","&amp;D$2&amp;",ANNUAL_ROLL,+1,0,,,'CURRENCY="&amp;$E$1&amp;"')")</f>
        <v>187.8595</v>
      </c>
      <c r="AA173" s="124" cm="1">
        <f t="array" ref="AA173">_xll.FDSC("--",$A$1,""&amp;$X173&amp;"("&amp;$Y173&amp;","&amp;D$2&amp;",ANNUAL_ROLL,+2,0,,,'CURRENCY="&amp;$E$1&amp;"')")</f>
        <v>206.17099999999999</v>
      </c>
      <c r="AB173" s="124" t="str" cm="1">
        <f t="array" ref="AB173">_xll.FDSC("--",$A$1,""&amp;$X173&amp;"("&amp;$Y173&amp;","&amp;D$2&amp;",ANNUAL_ROLL,+3,0,,,'CURRENCY="&amp;$E$1&amp;"')")</f>
        <v>--</v>
      </c>
      <c r="AC173" s="124"/>
      <c r="AD173" s="124"/>
      <c r="AE173" s="127"/>
    </row>
    <row r="174" spans="1:31" outlineLevel="1" x14ac:dyDescent="0.3">
      <c r="A174" s="184" t="s">
        <v>156</v>
      </c>
      <c r="B174" s="140">
        <f>CHOOSE(IF($B$1=2,2,1),'GAAP-IFRS'!E46,IF('Broker Actual'!E46="-",'GAAP-IFRS'!E46,'Broker Actual'!E46))</f>
        <v>336.20499999999998</v>
      </c>
      <c r="C174" s="140">
        <f>CHOOSE(IF($B$1=2,2,1),'GAAP-IFRS'!F46,IF('Broker Actual'!F46="-",'GAAP-IFRS'!F46,'Broker Actual'!F46))</f>
        <v>510.30500000000001</v>
      </c>
      <c r="D174" s="140">
        <f>CHOOSE(IF($B$1=2,2,1),'GAAP-IFRS'!G46,IF('Broker Actual'!G46="-",'GAAP-IFRS'!G46,'Broker Actual'!G46))</f>
        <v>578.31700000000001</v>
      </c>
      <c r="E174" s="140">
        <f>CHOOSE(IF($B$1=2,2,1),'GAAP-IFRS'!H46,IF('Broker Actual'!H46="-",'GAAP-IFRS'!H46,'Broker Actual'!H46))</f>
        <v>609.78499999999997</v>
      </c>
      <c r="F174" s="140">
        <f>CHOOSE(IF($B$1=2,2,1),'GAAP-IFRS'!I46,IF('Broker Actual'!I46="-",'GAAP-IFRS'!I46,'Broker Actual'!I46))</f>
        <v>660.79899999999998</v>
      </c>
      <c r="G174" s="140">
        <f>CHOOSE(IF($B$1=2,2,1),'GAAP-IFRS'!J46,IF('Broker Actual'!J46="-",'GAAP-IFRS'!J46,'Broker Actual'!J46))</f>
        <v>729.56100000000004</v>
      </c>
      <c r="H174" s="140">
        <f>CHOOSE(IF($B$1=2,2,1),'GAAP-IFRS'!K46,IF('Broker Actual'!K46="-",'GAAP-IFRS'!K46,'Broker Actual'!K46))</f>
        <v>702.27</v>
      </c>
      <c r="I174" s="140">
        <f>CHOOSE(IF($B$1=2,2,1),'GAAP-IFRS'!L46,IF('Broker Actual'!L46="-",'GAAP-IFRS'!L46,'Broker Actual'!L46))</f>
        <v>662.29100000000005</v>
      </c>
      <c r="J174" s="140">
        <f>CHOOSE(IF($B$1=2,2,1),'GAAP-IFRS'!M46,IF('Broker Actual'!M46="-",'GAAP-IFRS'!M46,'Broker Actual'!M46))</f>
        <v>834.19299999999998</v>
      </c>
      <c r="K174" s="140">
        <f>CHOOSE(IF($B$1=2,2,1),'GAAP-IFRS'!N46,IF('Broker Actual'!N46="-",'GAAP-IFRS'!N46,'Broker Actual'!N46))</f>
        <v>1093.76</v>
      </c>
      <c r="L174" s="140">
        <f>CHOOSE(IF($B$1=2,2,1),'GAAP-IFRS'!O46,IF('Broker Actual'!O46="-",'GAAP-IFRS'!O46,'Broker Actual'!O46))</f>
        <v>1078.665</v>
      </c>
      <c r="M174" s="124"/>
      <c r="N174" s="124"/>
      <c r="O174" s="124"/>
      <c r="P174" s="124"/>
      <c r="Q174" s="124"/>
      <c r="R174" s="124"/>
      <c r="S174" s="124"/>
      <c r="T174" s="124"/>
      <c r="U174" s="124"/>
      <c r="V174" s="124"/>
      <c r="W174" s="158"/>
      <c r="X174" s="159"/>
      <c r="Y174" s="159"/>
      <c r="Z174" s="157"/>
      <c r="AA174" s="157"/>
      <c r="AB174" s="157"/>
      <c r="AC174" s="157"/>
      <c r="AD174" s="157"/>
      <c r="AE174" s="160"/>
    </row>
    <row r="175" spans="1:31" outlineLevel="1" x14ac:dyDescent="0.3">
      <c r="B175" s="140"/>
      <c r="C175" s="140"/>
      <c r="D175" s="140"/>
      <c r="E175" s="140"/>
      <c r="F175" s="140"/>
      <c r="G175" s="140"/>
      <c r="H175" s="140"/>
      <c r="I175" s="140"/>
      <c r="J175" s="140"/>
      <c r="K175" s="140"/>
      <c r="L175" s="140"/>
      <c r="M175" s="124"/>
      <c r="N175" s="124"/>
      <c r="O175" s="124"/>
      <c r="P175" s="124"/>
      <c r="Q175" s="124"/>
      <c r="R175" s="124"/>
      <c r="S175" s="124"/>
      <c r="T175" s="124"/>
      <c r="U175" s="124"/>
      <c r="V175" s="124"/>
      <c r="W175" s="185"/>
      <c r="X175" s="186"/>
      <c r="Y175" s="186"/>
      <c r="Z175" s="121"/>
      <c r="AA175" s="121"/>
      <c r="AB175" s="121"/>
      <c r="AC175" s="121"/>
      <c r="AD175" s="121"/>
      <c r="AE175" s="187"/>
    </row>
    <row r="176" spans="1:31" outlineLevel="1" x14ac:dyDescent="0.3">
      <c r="B176" s="140"/>
      <c r="C176" s="140"/>
      <c r="D176" s="140"/>
      <c r="E176" s="140"/>
      <c r="F176" s="140"/>
      <c r="G176" s="140"/>
      <c r="H176" s="140"/>
      <c r="I176" s="140"/>
      <c r="J176" s="140"/>
      <c r="K176" s="140"/>
      <c r="L176" s="140"/>
      <c r="M176" s="124"/>
      <c r="N176" s="124"/>
      <c r="O176" s="124"/>
      <c r="P176" s="124"/>
      <c r="Q176" s="124"/>
      <c r="R176" s="124"/>
      <c r="S176" s="124"/>
      <c r="T176" s="124"/>
      <c r="U176" s="124"/>
      <c r="V176" s="124"/>
      <c r="W176" s="185"/>
      <c r="X176" s="186"/>
      <c r="Y176" s="186"/>
      <c r="Z176" s="121"/>
      <c r="AA176" s="121"/>
      <c r="AB176" s="121"/>
      <c r="AC176" s="121"/>
      <c r="AD176" s="121"/>
      <c r="AE176" s="187"/>
    </row>
    <row r="177" spans="2:31" outlineLevel="1" x14ac:dyDescent="0.3">
      <c r="B177" s="140"/>
      <c r="C177" s="140"/>
      <c r="D177" s="140"/>
      <c r="E177" s="140"/>
      <c r="F177" s="140"/>
      <c r="G177" s="140"/>
      <c r="H177" s="140"/>
      <c r="I177" s="140"/>
      <c r="J177" s="140"/>
      <c r="K177" s="140"/>
      <c r="L177" s="140"/>
      <c r="M177" s="124"/>
      <c r="N177" s="124"/>
      <c r="O177" s="124"/>
      <c r="P177" s="124"/>
      <c r="Q177" s="124"/>
      <c r="R177" s="124"/>
      <c r="S177" s="124"/>
      <c r="T177" s="124"/>
      <c r="U177" s="124"/>
      <c r="V177" s="124"/>
      <c r="W177" s="185"/>
      <c r="X177" s="186"/>
      <c r="Y177" s="186"/>
      <c r="Z177" s="121"/>
      <c r="AA177" s="121"/>
      <c r="AB177" s="121"/>
      <c r="AC177" s="121"/>
      <c r="AD177" s="121"/>
      <c r="AE177" s="187"/>
    </row>
    <row r="178" spans="2:31" outlineLevel="1" x14ac:dyDescent="0.3">
      <c r="B178" s="140"/>
      <c r="C178" s="140"/>
      <c r="D178" s="140"/>
      <c r="E178" s="140"/>
      <c r="F178" s="140"/>
      <c r="G178" s="140"/>
      <c r="H178" s="140"/>
      <c r="I178" s="140"/>
      <c r="J178" s="140"/>
      <c r="K178" s="140"/>
      <c r="L178" s="140"/>
      <c r="M178" s="124"/>
      <c r="N178" s="124"/>
      <c r="O178" s="124"/>
      <c r="P178" s="124"/>
      <c r="Q178" s="124"/>
      <c r="R178" s="124"/>
      <c r="S178" s="124"/>
      <c r="T178" s="124"/>
      <c r="U178" s="124"/>
      <c r="V178" s="124"/>
      <c r="W178" s="185"/>
      <c r="X178" s="186"/>
      <c r="Y178" s="186"/>
      <c r="Z178" s="121"/>
      <c r="AA178" s="121"/>
      <c r="AB178" s="121"/>
      <c r="AC178" s="121"/>
      <c r="AD178" s="121"/>
      <c r="AE178" s="187"/>
    </row>
    <row r="179" spans="2:31" outlineLevel="1" x14ac:dyDescent="0.3">
      <c r="B179" s="140"/>
      <c r="C179" s="140"/>
      <c r="D179" s="140"/>
      <c r="E179" s="140"/>
      <c r="F179" s="140"/>
      <c r="G179" s="140"/>
      <c r="H179" s="140"/>
      <c r="I179" s="140"/>
      <c r="J179" s="140"/>
      <c r="K179" s="140"/>
      <c r="L179" s="140"/>
      <c r="M179" s="124"/>
      <c r="N179" s="124"/>
      <c r="O179" s="124"/>
      <c r="P179" s="124"/>
      <c r="Q179" s="124"/>
      <c r="R179" s="124"/>
      <c r="S179" s="124"/>
      <c r="T179" s="124"/>
      <c r="U179" s="124"/>
      <c r="V179" s="124"/>
      <c r="W179" s="185"/>
      <c r="X179" s="186"/>
      <c r="Y179" s="186"/>
      <c r="Z179" s="121"/>
      <c r="AA179" s="121"/>
      <c r="AB179" s="121"/>
      <c r="AC179" s="121"/>
      <c r="AD179" s="121"/>
      <c r="AE179" s="187"/>
    </row>
    <row r="180" spans="2:31" outlineLevel="1" x14ac:dyDescent="0.3">
      <c r="B180" s="140"/>
      <c r="C180" s="140"/>
      <c r="D180" s="140"/>
      <c r="E180" s="140"/>
      <c r="F180" s="140"/>
      <c r="G180" s="140"/>
      <c r="H180" s="140"/>
      <c r="I180" s="140"/>
      <c r="J180" s="140"/>
      <c r="K180" s="140"/>
      <c r="L180" s="140"/>
      <c r="M180" s="124"/>
      <c r="N180" s="124"/>
      <c r="O180" s="124"/>
      <c r="P180" s="124"/>
      <c r="Q180" s="124"/>
      <c r="R180" s="124"/>
      <c r="S180" s="124"/>
      <c r="T180" s="124"/>
      <c r="U180" s="124"/>
      <c r="V180" s="124"/>
      <c r="W180" s="185"/>
      <c r="X180" s="186"/>
      <c r="Y180" s="186"/>
      <c r="Z180" s="121"/>
      <c r="AA180" s="121"/>
      <c r="AB180" s="121"/>
      <c r="AC180" s="121"/>
      <c r="AD180" s="121"/>
      <c r="AE180" s="187"/>
    </row>
    <row r="181" spans="2:31" outlineLevel="1" x14ac:dyDescent="0.3">
      <c r="B181" s="140"/>
      <c r="C181" s="140"/>
      <c r="D181" s="140"/>
      <c r="E181" s="140"/>
      <c r="F181" s="140"/>
      <c r="G181" s="140"/>
      <c r="H181" s="140"/>
      <c r="I181" s="140"/>
      <c r="J181" s="140"/>
      <c r="K181" s="140"/>
      <c r="L181" s="140"/>
      <c r="M181" s="124"/>
      <c r="N181" s="124"/>
      <c r="O181" s="124"/>
      <c r="P181" s="124"/>
      <c r="Q181" s="124"/>
      <c r="R181" s="124"/>
      <c r="S181" s="124"/>
      <c r="T181" s="124"/>
      <c r="U181" s="124"/>
      <c r="V181" s="124"/>
      <c r="W181" s="185"/>
      <c r="X181" s="186"/>
      <c r="Y181" s="186"/>
      <c r="Z181" s="121"/>
      <c r="AA181" s="121"/>
      <c r="AB181" s="121"/>
      <c r="AC181" s="121"/>
      <c r="AD181" s="121"/>
      <c r="AE181" s="187"/>
    </row>
    <row r="182" spans="2:31" outlineLevel="1" x14ac:dyDescent="0.3">
      <c r="B182" s="140"/>
      <c r="C182" s="140"/>
      <c r="D182" s="140"/>
      <c r="E182" s="140"/>
      <c r="F182" s="140"/>
      <c r="G182" s="140"/>
      <c r="H182" s="140"/>
      <c r="I182" s="140"/>
      <c r="J182" s="140"/>
      <c r="K182" s="140"/>
      <c r="L182" s="140"/>
      <c r="M182" s="124"/>
      <c r="N182" s="124"/>
      <c r="O182" s="124"/>
      <c r="P182" s="124"/>
      <c r="Q182" s="124"/>
      <c r="R182" s="124"/>
      <c r="S182" s="124"/>
      <c r="T182" s="124"/>
      <c r="U182" s="124"/>
      <c r="V182" s="124"/>
      <c r="W182" s="185"/>
      <c r="X182" s="186"/>
      <c r="Y182" s="186"/>
      <c r="Z182" s="121"/>
      <c r="AA182" s="121"/>
      <c r="AB182" s="121"/>
      <c r="AC182" s="121"/>
      <c r="AD182" s="121"/>
      <c r="AE182" s="187"/>
    </row>
    <row r="183" spans="2:31" outlineLevel="1" x14ac:dyDescent="0.3">
      <c r="B183" s="140"/>
      <c r="C183" s="140"/>
      <c r="D183" s="140"/>
      <c r="E183" s="140"/>
      <c r="F183" s="140"/>
      <c r="G183" s="140"/>
      <c r="H183" s="140"/>
      <c r="I183" s="140"/>
      <c r="J183" s="140"/>
      <c r="K183" s="140"/>
      <c r="L183" s="140"/>
      <c r="M183" s="124"/>
      <c r="N183" s="124"/>
      <c r="O183" s="124"/>
      <c r="P183" s="124"/>
      <c r="Q183" s="124"/>
      <c r="R183" s="124"/>
      <c r="S183" s="124"/>
      <c r="T183" s="124"/>
      <c r="U183" s="124"/>
      <c r="V183" s="124"/>
      <c r="W183" s="185"/>
      <c r="X183" s="186"/>
      <c r="Y183" s="186"/>
      <c r="Z183" s="121"/>
      <c r="AA183" s="121"/>
      <c r="AB183" s="121"/>
      <c r="AC183" s="121"/>
      <c r="AD183" s="121"/>
      <c r="AE183" s="187"/>
    </row>
    <row r="184" spans="2:31" outlineLevel="1" x14ac:dyDescent="0.3">
      <c r="B184" s="140"/>
      <c r="C184" s="140"/>
      <c r="D184" s="140"/>
      <c r="E184" s="140"/>
      <c r="F184" s="140"/>
      <c r="G184" s="140"/>
      <c r="H184" s="140"/>
      <c r="I184" s="140"/>
      <c r="J184" s="140"/>
      <c r="K184" s="140"/>
      <c r="L184" s="140"/>
      <c r="M184" s="124"/>
      <c r="N184" s="124"/>
      <c r="O184" s="124"/>
      <c r="P184" s="124"/>
      <c r="Q184" s="124"/>
      <c r="R184" s="124"/>
      <c r="S184" s="124"/>
      <c r="T184" s="124"/>
      <c r="U184" s="124"/>
      <c r="V184" s="124"/>
      <c r="W184" s="185"/>
      <c r="X184" s="186"/>
      <c r="Y184" s="186"/>
      <c r="Z184" s="121"/>
      <c r="AA184" s="121"/>
      <c r="AB184" s="121"/>
      <c r="AC184" s="121"/>
      <c r="AD184" s="121"/>
      <c r="AE184" s="187"/>
    </row>
    <row r="185" spans="2:31" outlineLevel="1" x14ac:dyDescent="0.3">
      <c r="B185" s="140"/>
      <c r="C185" s="140"/>
      <c r="D185" s="140"/>
      <c r="E185" s="140"/>
      <c r="F185" s="140"/>
      <c r="G185" s="140"/>
      <c r="H185" s="140"/>
      <c r="I185" s="140"/>
      <c r="J185" s="140"/>
      <c r="K185" s="140"/>
      <c r="L185" s="140"/>
      <c r="M185" s="124"/>
      <c r="N185" s="124"/>
      <c r="O185" s="124"/>
      <c r="P185" s="124"/>
      <c r="Q185" s="124"/>
      <c r="R185" s="124"/>
      <c r="S185" s="124"/>
      <c r="T185" s="124"/>
      <c r="U185" s="124"/>
      <c r="V185" s="124"/>
      <c r="W185" s="185"/>
      <c r="X185" s="186"/>
      <c r="Y185" s="186"/>
      <c r="Z185" s="121"/>
      <c r="AA185" s="121"/>
      <c r="AB185" s="121"/>
      <c r="AC185" s="121"/>
      <c r="AD185" s="121"/>
      <c r="AE185" s="187"/>
    </row>
    <row r="186" spans="2:31" outlineLevel="1" x14ac:dyDescent="0.3">
      <c r="B186" s="140"/>
      <c r="C186" s="140"/>
      <c r="D186" s="140"/>
      <c r="E186" s="140"/>
      <c r="F186" s="140"/>
      <c r="G186" s="140"/>
      <c r="H186" s="140"/>
      <c r="I186" s="140"/>
      <c r="J186" s="140"/>
      <c r="K186" s="140"/>
      <c r="L186" s="140"/>
      <c r="M186" s="124"/>
      <c r="N186" s="124"/>
      <c r="O186" s="124"/>
      <c r="P186" s="124"/>
      <c r="Q186" s="124"/>
      <c r="R186" s="124"/>
      <c r="S186" s="124"/>
      <c r="T186" s="124"/>
      <c r="U186" s="124"/>
      <c r="V186" s="124"/>
      <c r="W186" s="185"/>
      <c r="X186" s="186"/>
      <c r="Y186" s="186"/>
      <c r="Z186" s="121"/>
      <c r="AA186" s="121"/>
      <c r="AB186" s="121"/>
      <c r="AC186" s="121"/>
      <c r="AD186" s="121"/>
      <c r="AE186" s="187"/>
    </row>
    <row r="187" spans="2:31" outlineLevel="1" x14ac:dyDescent="0.3">
      <c r="B187" s="140"/>
      <c r="C187" s="140"/>
      <c r="D187" s="140"/>
      <c r="E187" s="140"/>
      <c r="F187" s="140"/>
      <c r="G187" s="140"/>
      <c r="H187" s="140"/>
      <c r="I187" s="140"/>
      <c r="J187" s="140"/>
      <c r="K187" s="140"/>
      <c r="L187" s="140"/>
      <c r="M187" s="124"/>
      <c r="N187" s="124"/>
      <c r="O187" s="124"/>
      <c r="P187" s="124"/>
      <c r="Q187" s="124"/>
      <c r="R187" s="124"/>
      <c r="S187" s="124"/>
      <c r="T187" s="124"/>
      <c r="U187" s="124"/>
      <c r="V187" s="124"/>
      <c r="W187" s="185"/>
      <c r="X187" s="186"/>
      <c r="Y187" s="186"/>
      <c r="Z187" s="121"/>
      <c r="AA187" s="121"/>
      <c r="AB187" s="121"/>
      <c r="AC187" s="121"/>
      <c r="AD187" s="121"/>
      <c r="AE187" s="187"/>
    </row>
    <row r="188" spans="2:31" outlineLevel="1" x14ac:dyDescent="0.3">
      <c r="B188" s="140"/>
      <c r="C188" s="140"/>
      <c r="D188" s="140"/>
      <c r="E188" s="140"/>
      <c r="F188" s="140"/>
      <c r="G188" s="140"/>
      <c r="H188" s="140"/>
      <c r="I188" s="140"/>
      <c r="J188" s="140"/>
      <c r="K188" s="140"/>
      <c r="L188" s="140"/>
      <c r="M188" s="124"/>
      <c r="N188" s="124"/>
      <c r="O188" s="124"/>
      <c r="P188" s="124"/>
      <c r="Q188" s="124"/>
      <c r="R188" s="124"/>
      <c r="S188" s="124"/>
      <c r="T188" s="124"/>
      <c r="U188" s="124"/>
      <c r="V188" s="124"/>
      <c r="W188" s="185"/>
      <c r="X188" s="186"/>
      <c r="Y188" s="186"/>
      <c r="Z188" s="121"/>
      <c r="AA188" s="121"/>
      <c r="AB188" s="121"/>
      <c r="AC188" s="121"/>
      <c r="AD188" s="121"/>
      <c r="AE188" s="187"/>
    </row>
    <row r="189" spans="2:31" outlineLevel="1" x14ac:dyDescent="0.3">
      <c r="B189" s="140"/>
      <c r="C189" s="140"/>
      <c r="D189" s="140"/>
      <c r="E189" s="140"/>
      <c r="F189" s="140"/>
      <c r="G189" s="140"/>
      <c r="H189" s="140"/>
      <c r="I189" s="140"/>
      <c r="J189" s="140"/>
      <c r="K189" s="140"/>
      <c r="L189" s="140"/>
      <c r="M189" s="124"/>
      <c r="N189" s="124"/>
      <c r="O189" s="124"/>
      <c r="P189" s="124"/>
      <c r="Q189" s="124"/>
      <c r="R189" s="124"/>
      <c r="S189" s="124"/>
      <c r="T189" s="124"/>
      <c r="U189" s="124"/>
      <c r="V189" s="124"/>
      <c r="W189" s="185"/>
      <c r="X189" s="186"/>
      <c r="Y189" s="186"/>
      <c r="Z189" s="121"/>
      <c r="AA189" s="121"/>
      <c r="AB189" s="121"/>
      <c r="AC189" s="121"/>
      <c r="AD189" s="121"/>
      <c r="AE189" s="187"/>
    </row>
    <row r="190" spans="2:31" outlineLevel="1" x14ac:dyDescent="0.3">
      <c r="B190" s="140"/>
      <c r="C190" s="140"/>
      <c r="D190" s="140"/>
      <c r="E190" s="140"/>
      <c r="F190" s="140"/>
      <c r="G190" s="140"/>
      <c r="H190" s="140"/>
      <c r="I190" s="140"/>
      <c r="J190" s="140"/>
      <c r="K190" s="140"/>
      <c r="L190" s="140"/>
      <c r="M190" s="124"/>
      <c r="N190" s="124"/>
      <c r="O190" s="124"/>
      <c r="P190" s="124"/>
      <c r="Q190" s="124"/>
      <c r="R190" s="124"/>
      <c r="S190" s="124"/>
      <c r="T190" s="124"/>
      <c r="U190" s="124"/>
      <c r="V190" s="124"/>
      <c r="W190" s="185"/>
      <c r="X190" s="186"/>
      <c r="Y190" s="186"/>
      <c r="Z190" s="121"/>
      <c r="AA190" s="121"/>
      <c r="AB190" s="121"/>
      <c r="AC190" s="121"/>
      <c r="AD190" s="121"/>
      <c r="AE190" s="187"/>
    </row>
    <row r="191" spans="2:31" outlineLevel="1" x14ac:dyDescent="0.3">
      <c r="B191" s="140"/>
      <c r="C191" s="140"/>
      <c r="D191" s="140"/>
      <c r="E191" s="140"/>
      <c r="F191" s="140"/>
      <c r="G191" s="140"/>
      <c r="H191" s="140"/>
      <c r="I191" s="140"/>
      <c r="J191" s="140"/>
      <c r="K191" s="140"/>
      <c r="L191" s="140"/>
      <c r="M191" s="124"/>
      <c r="N191" s="124"/>
      <c r="O191" s="124"/>
      <c r="P191" s="124"/>
      <c r="Q191" s="124"/>
      <c r="R191" s="124"/>
      <c r="S191" s="124"/>
      <c r="T191" s="124"/>
      <c r="U191" s="124"/>
      <c r="V191" s="124"/>
      <c r="W191" s="185"/>
      <c r="X191" s="186"/>
      <c r="Y191" s="186"/>
      <c r="Z191" s="121"/>
      <c r="AA191" s="121"/>
      <c r="AB191" s="121"/>
      <c r="AC191" s="121"/>
      <c r="AD191" s="121"/>
      <c r="AE191" s="187"/>
    </row>
    <row r="192" spans="2:31" outlineLevel="1" x14ac:dyDescent="0.3">
      <c r="B192" s="140"/>
      <c r="C192" s="140"/>
      <c r="D192" s="140"/>
      <c r="E192" s="140"/>
      <c r="F192" s="140"/>
      <c r="G192" s="140"/>
      <c r="H192" s="140"/>
      <c r="I192" s="140"/>
      <c r="J192" s="140"/>
      <c r="K192" s="140"/>
      <c r="L192" s="140"/>
      <c r="M192" s="124"/>
      <c r="N192" s="124"/>
      <c r="O192" s="124"/>
      <c r="P192" s="124"/>
      <c r="Q192" s="124"/>
      <c r="R192" s="124"/>
      <c r="S192" s="124"/>
      <c r="T192" s="124"/>
      <c r="U192" s="124"/>
      <c r="V192" s="124"/>
      <c r="W192" s="185"/>
      <c r="X192" s="186"/>
      <c r="Y192" s="186"/>
      <c r="Z192" s="121"/>
      <c r="AA192" s="121"/>
      <c r="AB192" s="121"/>
      <c r="AC192" s="121"/>
      <c r="AD192" s="121"/>
      <c r="AE192" s="187"/>
    </row>
    <row r="193" spans="1:48" outlineLevel="1" x14ac:dyDescent="0.3">
      <c r="B193" s="140"/>
      <c r="C193" s="140"/>
      <c r="D193" s="140"/>
      <c r="E193" s="140"/>
      <c r="F193" s="140"/>
      <c r="G193" s="140"/>
      <c r="H193" s="140"/>
      <c r="I193" s="140"/>
      <c r="J193" s="140"/>
      <c r="K193" s="140"/>
      <c r="L193" s="140"/>
      <c r="M193" s="124"/>
      <c r="N193" s="124"/>
      <c r="O193" s="124"/>
      <c r="P193" s="124"/>
      <c r="Q193" s="124"/>
      <c r="R193" s="124"/>
      <c r="S193" s="124"/>
      <c r="T193" s="124"/>
      <c r="U193" s="124"/>
      <c r="V193" s="124"/>
      <c r="W193" s="185"/>
      <c r="X193" s="186"/>
      <c r="Y193" s="186"/>
      <c r="Z193" s="121"/>
      <c r="AA193" s="121"/>
      <c r="AB193" s="121"/>
      <c r="AC193" s="121"/>
      <c r="AD193" s="121"/>
      <c r="AE193" s="187"/>
    </row>
    <row r="194" spans="1:48" outlineLevel="1" x14ac:dyDescent="0.3">
      <c r="B194" s="140"/>
      <c r="C194" s="140"/>
      <c r="D194" s="140"/>
      <c r="E194" s="140"/>
      <c r="F194" s="140"/>
      <c r="G194" s="140"/>
      <c r="H194" s="140"/>
      <c r="I194" s="140"/>
      <c r="J194" s="140"/>
      <c r="K194" s="140"/>
      <c r="L194" s="140"/>
      <c r="M194" s="124"/>
      <c r="N194" s="124"/>
      <c r="O194" s="124"/>
      <c r="P194" s="124"/>
      <c r="Q194" s="124"/>
      <c r="R194" s="124"/>
      <c r="S194" s="124"/>
      <c r="T194" s="124"/>
      <c r="U194" s="124"/>
      <c r="V194" s="124"/>
      <c r="W194" s="185"/>
      <c r="X194" s="186"/>
      <c r="Y194" s="186"/>
      <c r="Z194" s="121"/>
      <c r="AA194" s="121"/>
      <c r="AB194" s="121"/>
      <c r="AC194" s="121"/>
      <c r="AD194" s="121"/>
      <c r="AE194" s="187"/>
    </row>
    <row r="195" spans="1:48" outlineLevel="1" x14ac:dyDescent="0.3">
      <c r="B195" s="140"/>
      <c r="C195" s="140"/>
      <c r="D195" s="140"/>
      <c r="E195" s="140"/>
      <c r="F195" s="140"/>
      <c r="G195" s="140"/>
      <c r="H195" s="140"/>
      <c r="I195" s="140"/>
      <c r="J195" s="140"/>
      <c r="K195" s="140"/>
      <c r="L195" s="140"/>
      <c r="M195" s="124"/>
      <c r="N195" s="124"/>
      <c r="O195" s="124"/>
      <c r="P195" s="124"/>
      <c r="Q195" s="124"/>
      <c r="R195" s="124"/>
      <c r="S195" s="124"/>
      <c r="T195" s="124"/>
      <c r="U195" s="124"/>
      <c r="V195" s="124"/>
      <c r="W195" s="185"/>
      <c r="X195" s="186"/>
      <c r="Y195" s="186"/>
      <c r="Z195" s="121"/>
      <c r="AA195" s="121"/>
      <c r="AB195" s="121"/>
      <c r="AC195" s="121"/>
      <c r="AD195" s="121"/>
      <c r="AE195" s="187"/>
    </row>
    <row r="196" spans="1:48" outlineLevel="1" x14ac:dyDescent="0.3">
      <c r="B196" s="140"/>
      <c r="C196" s="140"/>
      <c r="D196" s="140"/>
      <c r="E196" s="140"/>
      <c r="F196" s="140"/>
      <c r="G196" s="140"/>
      <c r="H196" s="140"/>
      <c r="I196" s="140"/>
      <c r="J196" s="140"/>
      <c r="K196" s="140"/>
      <c r="L196" s="140"/>
      <c r="M196" s="124"/>
      <c r="N196" s="124"/>
      <c r="O196" s="124"/>
      <c r="P196" s="124"/>
      <c r="Q196" s="124"/>
      <c r="R196" s="124"/>
      <c r="S196" s="124"/>
      <c r="T196" s="124"/>
      <c r="U196" s="124"/>
      <c r="V196" s="124"/>
      <c r="W196" s="185"/>
      <c r="X196" s="186"/>
      <c r="Y196" s="186"/>
      <c r="Z196" s="121"/>
      <c r="AA196" s="121"/>
      <c r="AB196" s="121"/>
      <c r="AC196" s="121"/>
      <c r="AD196" s="121"/>
      <c r="AE196" s="187"/>
    </row>
    <row r="197" spans="1:48" outlineLevel="1" x14ac:dyDescent="0.3">
      <c r="B197" s="140"/>
      <c r="C197" s="140"/>
      <c r="D197" s="140"/>
      <c r="E197" s="140"/>
      <c r="F197" s="140"/>
      <c r="G197" s="140"/>
      <c r="H197" s="140"/>
      <c r="I197" s="140"/>
      <c r="J197" s="140"/>
      <c r="K197" s="140"/>
      <c r="L197" s="140"/>
      <c r="M197" s="124"/>
      <c r="N197" s="124"/>
      <c r="O197" s="124"/>
      <c r="P197" s="124"/>
      <c r="Q197" s="124"/>
      <c r="R197" s="124"/>
      <c r="S197" s="124"/>
      <c r="T197" s="124"/>
      <c r="U197" s="124"/>
      <c r="V197" s="124"/>
      <c r="W197" s="185"/>
      <c r="X197" s="186"/>
      <c r="Y197" s="186"/>
      <c r="Z197" s="121"/>
      <c r="AA197" s="121"/>
      <c r="AB197" s="121"/>
      <c r="AC197" s="121"/>
      <c r="AD197" s="121"/>
      <c r="AE197" s="187"/>
    </row>
    <row r="198" spans="1:48" outlineLevel="1" x14ac:dyDescent="0.3">
      <c r="B198" s="140"/>
      <c r="C198" s="140"/>
      <c r="D198" s="140"/>
      <c r="E198" s="140"/>
      <c r="F198" s="140"/>
      <c r="G198" s="140"/>
      <c r="H198" s="140"/>
      <c r="I198" s="140"/>
      <c r="J198" s="140"/>
      <c r="K198" s="140"/>
      <c r="L198" s="140"/>
      <c r="M198" s="124"/>
      <c r="N198" s="124"/>
      <c r="O198" s="124"/>
      <c r="P198" s="124"/>
      <c r="Q198" s="124"/>
      <c r="R198" s="124"/>
      <c r="S198" s="124"/>
      <c r="T198" s="124"/>
      <c r="U198" s="124"/>
      <c r="V198" s="124"/>
      <c r="W198" s="185"/>
      <c r="X198" s="186"/>
      <c r="Y198" s="186"/>
      <c r="Z198" s="121"/>
      <c r="AA198" s="121"/>
      <c r="AB198" s="121"/>
      <c r="AC198" s="121"/>
      <c r="AD198" s="121"/>
      <c r="AE198" s="187"/>
    </row>
    <row r="199" spans="1:48" outlineLevel="1" x14ac:dyDescent="0.3">
      <c r="B199" s="140"/>
      <c r="C199" s="140"/>
      <c r="D199" s="140"/>
      <c r="E199" s="140"/>
      <c r="F199" s="140"/>
      <c r="G199" s="140"/>
      <c r="H199" s="140"/>
      <c r="I199" s="140"/>
      <c r="J199" s="140"/>
      <c r="K199" s="140"/>
      <c r="L199" s="140"/>
      <c r="M199" s="124"/>
      <c r="N199" s="124"/>
      <c r="O199" s="124"/>
      <c r="P199" s="124"/>
      <c r="Q199" s="124"/>
      <c r="R199" s="124"/>
      <c r="S199" s="124"/>
      <c r="T199" s="124"/>
      <c r="U199" s="124"/>
      <c r="V199" s="124"/>
      <c r="W199" s="185"/>
      <c r="X199" s="186"/>
      <c r="Y199" s="186"/>
      <c r="Z199" s="121"/>
      <c r="AA199" s="121"/>
      <c r="AB199" s="121"/>
      <c r="AC199" s="121"/>
      <c r="AD199" s="121"/>
      <c r="AE199" s="187"/>
    </row>
    <row r="200" spans="1:48" outlineLevel="1" x14ac:dyDescent="0.3">
      <c r="B200" s="140"/>
      <c r="C200" s="140"/>
      <c r="D200" s="140"/>
      <c r="E200" s="140"/>
      <c r="F200" s="140"/>
      <c r="G200" s="140"/>
      <c r="H200" s="140"/>
      <c r="I200" s="140"/>
      <c r="J200" s="140"/>
      <c r="K200" s="140"/>
      <c r="L200" s="140"/>
      <c r="M200" s="124"/>
      <c r="N200" s="124"/>
      <c r="O200" s="124"/>
      <c r="P200" s="124"/>
      <c r="Q200" s="124"/>
      <c r="R200" s="124"/>
      <c r="S200" s="124"/>
      <c r="T200" s="124"/>
      <c r="U200" s="124"/>
      <c r="V200" s="124"/>
      <c r="W200" s="185"/>
      <c r="X200" s="186"/>
      <c r="Y200" s="186"/>
      <c r="Z200" s="121"/>
      <c r="AA200" s="121"/>
      <c r="AB200" s="121"/>
      <c r="AC200" s="121"/>
      <c r="AD200" s="121"/>
      <c r="AE200" s="187"/>
    </row>
    <row r="201" spans="1:48" outlineLevel="1" x14ac:dyDescent="0.3">
      <c r="B201" s="140"/>
      <c r="C201" s="140"/>
      <c r="D201" s="140"/>
      <c r="E201" s="140"/>
      <c r="F201" s="140"/>
      <c r="G201" s="140"/>
      <c r="H201" s="140"/>
      <c r="I201" s="140"/>
      <c r="J201" s="140"/>
      <c r="K201" s="140"/>
      <c r="L201" s="140"/>
      <c r="M201" s="124"/>
      <c r="N201" s="124"/>
      <c r="O201" s="124"/>
      <c r="P201" s="124"/>
      <c r="Q201" s="124"/>
      <c r="R201" s="124"/>
      <c r="S201" s="124"/>
      <c r="T201" s="124"/>
      <c r="U201" s="124"/>
      <c r="V201" s="124"/>
      <c r="W201" s="185"/>
      <c r="X201" s="186"/>
      <c r="Y201" s="186"/>
      <c r="Z201" s="121"/>
      <c r="AA201" s="121"/>
      <c r="AB201" s="121"/>
      <c r="AC201" s="121"/>
      <c r="AD201" s="121"/>
      <c r="AE201" s="187"/>
    </row>
    <row r="202" spans="1:48" outlineLevel="1" x14ac:dyDescent="0.3">
      <c r="B202" s="140"/>
      <c r="C202" s="140"/>
      <c r="D202" s="140"/>
      <c r="E202" s="140"/>
      <c r="F202" s="140"/>
      <c r="G202" s="140"/>
      <c r="H202" s="140"/>
      <c r="I202" s="140"/>
      <c r="J202" s="140"/>
      <c r="K202" s="140"/>
      <c r="L202" s="140"/>
      <c r="M202" s="124"/>
      <c r="N202" s="124"/>
      <c r="O202" s="124"/>
      <c r="P202" s="124"/>
      <c r="Q202" s="124"/>
      <c r="R202" s="124"/>
      <c r="S202" s="124"/>
      <c r="T202" s="124"/>
      <c r="U202" s="124"/>
      <c r="V202" s="124"/>
      <c r="W202" s="185"/>
      <c r="X202" s="186"/>
      <c r="Y202" s="186"/>
      <c r="Z202" s="121"/>
      <c r="AA202" s="121"/>
      <c r="AB202" s="121"/>
      <c r="AC202" s="121"/>
      <c r="AD202" s="121"/>
      <c r="AE202" s="187"/>
    </row>
    <row r="203" spans="1:48" outlineLevel="1" x14ac:dyDescent="0.3">
      <c r="B203" s="140"/>
      <c r="C203" s="140"/>
      <c r="D203" s="140"/>
      <c r="E203" s="140"/>
      <c r="F203" s="140"/>
      <c r="G203" s="140"/>
      <c r="H203" s="140"/>
      <c r="I203" s="140"/>
      <c r="J203" s="140"/>
      <c r="K203" s="140"/>
      <c r="L203" s="140"/>
      <c r="M203" s="124"/>
      <c r="N203" s="124"/>
      <c r="O203" s="124"/>
      <c r="P203" s="124"/>
      <c r="Q203" s="124"/>
      <c r="R203" s="124"/>
      <c r="S203" s="124"/>
      <c r="T203" s="124"/>
      <c r="U203" s="124"/>
      <c r="V203" s="124"/>
      <c r="W203" s="185"/>
      <c r="X203" s="186"/>
      <c r="Y203" s="186"/>
      <c r="Z203" s="121"/>
      <c r="AA203" s="121"/>
      <c r="AB203" s="121"/>
      <c r="AC203" s="121"/>
      <c r="AD203" s="121"/>
      <c r="AE203" s="187"/>
    </row>
    <row r="204" spans="1:48" outlineLevel="1" x14ac:dyDescent="0.3">
      <c r="B204" s="140"/>
      <c r="C204" s="140"/>
      <c r="D204" s="140"/>
      <c r="E204" s="140"/>
      <c r="F204" s="140"/>
      <c r="G204" s="140"/>
      <c r="H204" s="140"/>
      <c r="I204" s="140"/>
      <c r="J204" s="140"/>
      <c r="K204" s="140"/>
      <c r="L204" s="140"/>
      <c r="M204" s="124"/>
      <c r="N204" s="124"/>
      <c r="O204" s="124"/>
      <c r="P204" s="124"/>
      <c r="Q204" s="124"/>
      <c r="R204" s="124"/>
      <c r="S204" s="124"/>
      <c r="T204" s="124"/>
      <c r="U204" s="124"/>
      <c r="V204" s="124"/>
      <c r="W204" s="185"/>
      <c r="X204" s="186"/>
      <c r="Y204" s="186"/>
      <c r="Z204" s="121"/>
      <c r="AA204" s="121"/>
      <c r="AB204" s="121"/>
      <c r="AC204" s="121"/>
      <c r="AD204" s="121"/>
      <c r="AE204" s="187"/>
    </row>
    <row r="205" spans="1:48" x14ac:dyDescent="0.3">
      <c r="B205" s="140"/>
      <c r="C205" s="140"/>
      <c r="D205" s="140"/>
      <c r="E205" s="140"/>
      <c r="F205" s="140"/>
      <c r="G205" s="140"/>
      <c r="H205" s="140"/>
      <c r="I205" s="140"/>
      <c r="J205" s="140"/>
      <c r="K205" s="140"/>
      <c r="L205" s="140"/>
      <c r="M205" s="124"/>
      <c r="N205" s="124"/>
      <c r="O205" s="124"/>
      <c r="P205" s="124"/>
      <c r="Q205" s="124"/>
      <c r="R205" s="124"/>
      <c r="S205" s="124"/>
      <c r="T205" s="124"/>
      <c r="U205" s="124"/>
      <c r="V205" s="124"/>
      <c r="W205" s="185"/>
      <c r="X205" s="186"/>
      <c r="Y205" s="186"/>
      <c r="Z205" s="121"/>
      <c r="AA205" s="121"/>
      <c r="AB205" s="121"/>
      <c r="AC205" s="121"/>
      <c r="AD205" s="121"/>
      <c r="AE205" s="187"/>
    </row>
    <row r="206" spans="1:48" s="102" customFormat="1" x14ac:dyDescent="0.3">
      <c r="A206" s="176" t="s">
        <v>157</v>
      </c>
      <c r="B206" s="140" t="str" cm="1">
        <f t="array" ref="B206">IFERROR(_xll.FDS($A$1,""&amp;#REF!&amp;"("&amp;(CHOOSE($C$1,$AG$4,#REF!))&amp;","&amp;B$7&amp;",,,,"&amp;$E$1&amp;")"),"")</f>
        <v/>
      </c>
      <c r="C206" s="140" t="str" cm="1">
        <f t="array" ref="C206">IFERROR(_xll.FDS($A$1,""&amp;#REF!&amp;"("&amp;(CHOOSE($C$1,$AG$4,#REF!))&amp;","&amp;C$7&amp;",,,,"&amp;$E$1&amp;")"),"")</f>
        <v/>
      </c>
      <c r="D206" s="140" t="str" cm="1">
        <f t="array" ref="D206">IFERROR(_xll.FDS($A$1,""&amp;#REF!&amp;"("&amp;(CHOOSE($C$1,$AG$4,#REF!))&amp;","&amp;D$7&amp;",,,,"&amp;$E$1&amp;")"),"")</f>
        <v/>
      </c>
      <c r="E206" s="140" t="str" cm="1">
        <f t="array" ref="E206">IFERROR(_xll.FDS($A$1,""&amp;#REF!&amp;"("&amp;(CHOOSE($C$1,$AG$4,#REF!))&amp;","&amp;E$7&amp;",,,,"&amp;$E$1&amp;")"),"")</f>
        <v/>
      </c>
      <c r="F206" s="140" t="str" cm="1">
        <f t="array" ref="F206">IFERROR(_xll.FDS($A$1,""&amp;#REF!&amp;"("&amp;(CHOOSE($C$1,$AG$4,#REF!))&amp;","&amp;F$7&amp;",,,,"&amp;$E$1&amp;")"),"")</f>
        <v/>
      </c>
      <c r="G206" s="140" t="str" cm="1">
        <f t="array" ref="G206">IFERROR(_xll.FDS($A$1,""&amp;#REF!&amp;"("&amp;(CHOOSE($C$1,$AG$4,#REF!))&amp;","&amp;G$7&amp;",,,,"&amp;$E$1&amp;")"),"")</f>
        <v/>
      </c>
      <c r="H206" s="140" t="str" cm="1">
        <f t="array" ref="H206">IFERROR(_xll.FDS($A$1,""&amp;#REF!&amp;"("&amp;(CHOOSE($C$1,$AG$4,#REF!))&amp;","&amp;H$7&amp;",,,,"&amp;$E$1&amp;")"),"")</f>
        <v/>
      </c>
      <c r="I206" s="140" t="str" cm="1">
        <f t="array" ref="I206">IFERROR(_xll.FDS($A$1,""&amp;#REF!&amp;"("&amp;(CHOOSE($C$1,$AG$4,#REF!))&amp;","&amp;I$7&amp;",,,,"&amp;$E$1&amp;")"),"")</f>
        <v/>
      </c>
      <c r="J206" s="140" t="str" cm="1">
        <f t="array" ref="J206">IFERROR(_xll.FDS($A$1,""&amp;#REF!&amp;"("&amp;(CHOOSE($C$1,$AG$4,#REF!))&amp;","&amp;J$7&amp;",,,,"&amp;$E$1&amp;")"),"")</f>
        <v/>
      </c>
      <c r="K206" s="140" t="str" cm="1">
        <f t="array" ref="K206">IFERROR(_xll.FDS($A$1,""&amp;#REF!&amp;"("&amp;(CHOOSE($C$1,$AG$4,#REF!))&amp;","&amp;K$7&amp;",,,,"&amp;$E$1&amp;")"),"")</f>
        <v/>
      </c>
      <c r="L206" s="140" t="str" cm="1">
        <f t="array" ref="L206">IFERROR(_xll.FDS($A$1,""&amp;#REF!&amp;"("&amp;(CHOOSE($C$1,$AG$4,#REF!))&amp;","&amp;L$7&amp;",,,,"&amp;$E$1&amp;")"),"")</f>
        <v/>
      </c>
      <c r="M206" s="124"/>
      <c r="N206" s="124"/>
      <c r="O206" s="124"/>
      <c r="P206" s="124"/>
      <c r="Q206" s="124"/>
      <c r="R206" s="124"/>
      <c r="S206" s="124"/>
      <c r="T206" s="124"/>
      <c r="U206" s="124"/>
      <c r="V206" s="124"/>
      <c r="W206" s="178"/>
      <c r="X206" s="179"/>
      <c r="Y206" s="179"/>
      <c r="Z206" s="180"/>
      <c r="AA206" s="180"/>
      <c r="AB206" s="180"/>
      <c r="AC206" s="180"/>
      <c r="AD206" s="180"/>
      <c r="AE206" s="181"/>
      <c r="AL206" s="79"/>
      <c r="AM206" s="79"/>
      <c r="AN206" s="79"/>
      <c r="AO206" s="79"/>
      <c r="AP206" s="79"/>
      <c r="AQ206" s="79"/>
      <c r="AR206" s="79"/>
      <c r="AS206" s="79"/>
      <c r="AT206" s="79"/>
      <c r="AU206" s="79"/>
      <c r="AV206" s="79"/>
    </row>
    <row r="207" spans="1:48" s="102" customFormat="1" outlineLevel="1" x14ac:dyDescent="0.3">
      <c r="A207" s="176" t="s">
        <v>158</v>
      </c>
      <c r="B207" s="140"/>
      <c r="C207" s="140"/>
      <c r="D207" s="140"/>
      <c r="E207" s="140"/>
      <c r="F207" s="140"/>
      <c r="G207" s="140"/>
      <c r="H207" s="140"/>
      <c r="I207" s="140"/>
      <c r="J207" s="140"/>
      <c r="K207" s="140"/>
      <c r="L207" s="140"/>
      <c r="M207" s="124"/>
      <c r="N207" s="124"/>
      <c r="O207" s="124"/>
      <c r="P207" s="124"/>
      <c r="Q207" s="124"/>
      <c r="R207" s="124"/>
      <c r="S207" s="124"/>
      <c r="T207" s="124"/>
      <c r="U207" s="124"/>
      <c r="V207" s="124"/>
      <c r="W207" s="178"/>
      <c r="X207" s="179"/>
      <c r="Y207" s="179"/>
      <c r="Z207" s="180"/>
      <c r="AA207" s="180"/>
      <c r="AB207" s="180"/>
      <c r="AC207" s="180"/>
      <c r="AD207" s="180"/>
      <c r="AE207" s="181"/>
      <c r="AL207" s="79"/>
      <c r="AM207" s="79"/>
      <c r="AN207" s="79"/>
      <c r="AO207" s="79"/>
      <c r="AP207" s="79"/>
      <c r="AQ207" s="79"/>
      <c r="AR207" s="79"/>
      <c r="AS207" s="79"/>
      <c r="AT207" s="79"/>
      <c r="AU207" s="79"/>
      <c r="AV207" s="79"/>
    </row>
    <row r="208" spans="1:48" outlineLevel="1" x14ac:dyDescent="0.3">
      <c r="A208" s="79" t="s">
        <v>126</v>
      </c>
      <c r="B208" s="140">
        <f>CHOOSE(IF($B$1=2,2,1),'GAAP-IFRS'!E50,IF('Broker Actual'!E50="-",'GAAP-IFRS'!E50,'Broker Actual'!E50))</f>
        <v>29.835000000000001</v>
      </c>
      <c r="C208" s="140">
        <f>CHOOSE(IF($B$1=2,2,1),'GAAP-IFRS'!F50,IF('Broker Actual'!F50="-",'GAAP-IFRS'!F50,'Broker Actual'!F50))</f>
        <v>65.457999999999998</v>
      </c>
      <c r="D208" s="140">
        <f>CHOOSE(IF($B$1=2,2,1),'GAAP-IFRS'!G50,IF('Broker Actual'!G50="-",'GAAP-IFRS'!G50,'Broker Actual'!G50))</f>
        <v>62.664000000000001</v>
      </c>
      <c r="E208" s="140">
        <f>CHOOSE(IF($B$1=2,2,1),'GAAP-IFRS'!H50,IF('Broker Actual'!H50="-",'GAAP-IFRS'!H50,'Broker Actual'!H50))</f>
        <v>65.861000000000004</v>
      </c>
      <c r="F208" s="140">
        <f>CHOOSE(IF($B$1=2,2,1),'GAAP-IFRS'!I50,IF('Broker Actual'!I50="-",'GAAP-IFRS'!I50,'Broker Actual'!I50))</f>
        <v>29.021000000000001</v>
      </c>
      <c r="G208" s="140">
        <f>CHOOSE(IF($B$1=2,2,1),'GAAP-IFRS'!J50,IF('Broker Actual'!J50="-",'GAAP-IFRS'!J50,'Broker Actual'!J50))</f>
        <v>-6.8929999999999998</v>
      </c>
      <c r="H208" s="140">
        <f>CHOOSE(IF($B$1=2,2,1),'GAAP-IFRS'!K50,IF('Broker Actual'!K50="-",'GAAP-IFRS'!K50,'Broker Actual'!K50))</f>
        <v>17.725000000000001</v>
      </c>
      <c r="I208" s="140">
        <f>CHOOSE(IF($B$1=2,2,1),'GAAP-IFRS'!L50,IF('Broker Actual'!L50="-",'GAAP-IFRS'!L50,'Broker Actual'!L50))</f>
        <v>26.576000000000001</v>
      </c>
      <c r="J208" s="140">
        <f>CHOOSE(IF($B$1=2,2,1),'GAAP-IFRS'!M50,IF('Broker Actual'!M50="-",'GAAP-IFRS'!M50,'Broker Actual'!M50))</f>
        <v>27.58</v>
      </c>
      <c r="K208" s="140">
        <f>CHOOSE(IF($B$1=2,2,1),'GAAP-IFRS'!N50,IF('Broker Actual'!N50="-",'GAAP-IFRS'!N50,'Broker Actual'!N50))</f>
        <v>7.242</v>
      </c>
      <c r="L208" s="140">
        <f>CHOOSE(IF($B$1=2,2,1),'GAAP-IFRS'!O50,IF('Broker Actual'!O50="-",'GAAP-IFRS'!O50,'Broker Actual'!O50))</f>
        <v>-54.603000000000002</v>
      </c>
      <c r="M208" s="141">
        <f>M128</f>
        <v>32.184436478719981</v>
      </c>
      <c r="N208" s="141">
        <f>N128</f>
        <v>37.002600771084744</v>
      </c>
      <c r="O208" s="141">
        <f>O128</f>
        <v>38.091543501912305</v>
      </c>
      <c r="P208" s="141">
        <f>P128</f>
        <v>59.046738041192967</v>
      </c>
      <c r="Q208" s="141">
        <f>Q128</f>
        <v>65.119706028222211</v>
      </c>
      <c r="R208" s="124"/>
      <c r="S208" s="124"/>
      <c r="T208" s="124"/>
      <c r="U208" s="124"/>
      <c r="V208" s="124"/>
      <c r="W208" s="125"/>
      <c r="X208" s="126" t="s">
        <v>91</v>
      </c>
      <c r="Y208" s="126" t="s">
        <v>159</v>
      </c>
      <c r="Z208" s="124" t="str" cm="1">
        <f t="array" ref="Z208">_xll.FDSC("--",$A$1,""&amp;$X208&amp;"("&amp;$Y208&amp;","&amp;D$2&amp;",ANNUAL_ROLL,+1,0,,,'CURRENCY="&amp;$E$1&amp;"')")</f>
        <v>--</v>
      </c>
      <c r="AA208" s="124" t="str" cm="1">
        <f t="array" ref="AA208">_xll.FDSC("--",$A$1,""&amp;$X208&amp;"("&amp;$Y208&amp;","&amp;D$2&amp;",ANNUAL_ROLL,+2,0,,,'CURRENCY="&amp;$E$1&amp;"')")</f>
        <v>--</v>
      </c>
      <c r="AB208" s="124" t="str" cm="1">
        <f t="array" ref="AB208">_xll.FDSC("--",$A$1,""&amp;$X208&amp;"("&amp;$Y208&amp;","&amp;D$2&amp;",ANNUAL_ROLL,+3,0,,,'CURRENCY="&amp;$E$1&amp;"')")</f>
        <v>--</v>
      </c>
      <c r="AC208" s="124"/>
      <c r="AD208" s="124" cm="1">
        <f t="array" ref="AD208">_xll.FDSC("--",$A$1,"FF_FUNDS_OPER_GROSS(LTM_R,0,,,,"&amp;$E$1&amp;")@FF_FUNDS_OPER_GROSS(LTM_SEMI_R,0,,,,"&amp;$E$1&amp;")")</f>
        <v>-18.521000000000001</v>
      </c>
      <c r="AE208" s="127"/>
    </row>
    <row r="209" spans="1:31" outlineLevel="1" x14ac:dyDescent="0.3">
      <c r="A209" s="78" t="s">
        <v>160</v>
      </c>
      <c r="B209" s="140" t="str">
        <f>CHOOSE(IF($B$1=2,2,1),'GAAP-IFRS'!E51,IF('Broker Actual'!E51="-",'GAAP-IFRS'!E51,'Broker Actual'!E51))</f>
        <v/>
      </c>
      <c r="C209" s="140" t="str">
        <f>CHOOSE(IF($B$1=2,2,1),'GAAP-IFRS'!F51,IF('Broker Actual'!F51="-",'GAAP-IFRS'!F51,'Broker Actual'!F51))</f>
        <v/>
      </c>
      <c r="D209" s="140" t="str">
        <f>CHOOSE(IF($B$1=2,2,1),'GAAP-IFRS'!G51,IF('Broker Actual'!G51="-",'GAAP-IFRS'!G51,'Broker Actual'!G51))</f>
        <v/>
      </c>
      <c r="E209" s="140" t="str">
        <f>CHOOSE(IF($B$1=2,2,1),'GAAP-IFRS'!H51,IF('Broker Actual'!H51="-",'GAAP-IFRS'!H51,'Broker Actual'!H51))</f>
        <v/>
      </c>
      <c r="F209" s="140" t="str">
        <f>CHOOSE(IF($B$1=2,2,1),'GAAP-IFRS'!I51,IF('Broker Actual'!I51="-",'GAAP-IFRS'!I51,'Broker Actual'!I51))</f>
        <v/>
      </c>
      <c r="G209" s="140" t="str">
        <f>CHOOSE(IF($B$1=2,2,1),'GAAP-IFRS'!J51,IF('Broker Actual'!J51="-",'GAAP-IFRS'!J51,'Broker Actual'!J51))</f>
        <v/>
      </c>
      <c r="H209" s="140" t="str">
        <f>CHOOSE(IF($B$1=2,2,1),'GAAP-IFRS'!K51,IF('Broker Actual'!K51="-",'GAAP-IFRS'!K51,'Broker Actual'!K51))</f>
        <v/>
      </c>
      <c r="I209" s="140" t="str">
        <f>CHOOSE(IF($B$1=2,2,1),'GAAP-IFRS'!L51,IF('Broker Actual'!L51="-",'GAAP-IFRS'!L51,'Broker Actual'!L51))</f>
        <v/>
      </c>
      <c r="J209" s="140" t="str">
        <f>CHOOSE(IF($B$1=2,2,1),'GAAP-IFRS'!M51,IF('Broker Actual'!M51="-",'GAAP-IFRS'!M51,'Broker Actual'!M51))</f>
        <v/>
      </c>
      <c r="K209" s="140" t="str">
        <f>CHOOSE(IF($B$1=2,2,1),'GAAP-IFRS'!N51,IF('Broker Actual'!N51="-",'GAAP-IFRS'!N51,'Broker Actual'!N51))</f>
        <v/>
      </c>
      <c r="L209" s="140" t="str">
        <f>CHOOSE(IF($B$1=2,2,1),'GAAP-IFRS'!O51,IF('Broker Actual'!O51="-",'GAAP-IFRS'!O51,'Broker Actual'!O51))</f>
        <v/>
      </c>
      <c r="M209" s="141">
        <f>M210*M$57</f>
        <v>0</v>
      </c>
      <c r="N209" s="141">
        <f t="shared" ref="N209:Q209" si="242">N210*N$57</f>
        <v>0</v>
      </c>
      <c r="O209" s="141">
        <f t="shared" si="242"/>
        <v>0</v>
      </c>
      <c r="P209" s="141">
        <f t="shared" si="242"/>
        <v>0</v>
      </c>
      <c r="Q209" s="141">
        <f t="shared" si="242"/>
        <v>0</v>
      </c>
      <c r="R209" s="124"/>
      <c r="S209" s="124"/>
      <c r="T209" s="124"/>
      <c r="U209" s="124"/>
      <c r="V209" s="124"/>
      <c r="W209" s="125"/>
      <c r="X209" s="126"/>
      <c r="Y209" s="126"/>
      <c r="Z209" s="124"/>
      <c r="AA209" s="124"/>
      <c r="AB209" s="124"/>
      <c r="AC209" s="124"/>
      <c r="AD209" s="124"/>
      <c r="AE209" s="127"/>
    </row>
    <row r="210" spans="1:31" outlineLevel="1" x14ac:dyDescent="0.3">
      <c r="A210" s="129" t="s">
        <v>137</v>
      </c>
      <c r="B210" s="130" t="str">
        <f>IFERROR(B209/B$57,"")</f>
        <v/>
      </c>
      <c r="C210" s="130" t="str">
        <f t="shared" ref="C210:L210" si="243">IFERROR(C209/C$57,"")</f>
        <v/>
      </c>
      <c r="D210" s="130" t="str">
        <f t="shared" si="243"/>
        <v/>
      </c>
      <c r="E210" s="130" t="str">
        <f t="shared" si="243"/>
        <v/>
      </c>
      <c r="F210" s="130" t="str">
        <f t="shared" si="243"/>
        <v/>
      </c>
      <c r="G210" s="130" t="str">
        <f t="shared" si="243"/>
        <v/>
      </c>
      <c r="H210" s="130" t="str">
        <f t="shared" si="243"/>
        <v/>
      </c>
      <c r="I210" s="130" t="str">
        <f t="shared" si="243"/>
        <v/>
      </c>
      <c r="J210" s="130" t="str">
        <f t="shared" si="243"/>
        <v/>
      </c>
      <c r="K210" s="130" t="str">
        <f t="shared" si="243"/>
        <v/>
      </c>
      <c r="L210" s="130" t="str">
        <f t="shared" si="243"/>
        <v/>
      </c>
      <c r="M210" s="188">
        <v>0</v>
      </c>
      <c r="N210" s="188">
        <v>0</v>
      </c>
      <c r="O210" s="188">
        <v>0</v>
      </c>
      <c r="P210" s="188">
        <v>0</v>
      </c>
      <c r="Q210" s="188">
        <v>0</v>
      </c>
      <c r="R210" s="124"/>
      <c r="S210" s="124"/>
      <c r="T210" s="124"/>
      <c r="U210" s="124"/>
      <c r="V210" s="124"/>
      <c r="W210" s="125"/>
      <c r="X210" s="126"/>
      <c r="Y210" s="126"/>
      <c r="Z210" s="124"/>
      <c r="AA210" s="124"/>
      <c r="AB210" s="124"/>
      <c r="AC210" s="124"/>
      <c r="AD210" s="124"/>
      <c r="AE210" s="127"/>
    </row>
    <row r="211" spans="1:31" outlineLevel="1" x14ac:dyDescent="0.3">
      <c r="A211" s="78" t="s">
        <v>161</v>
      </c>
      <c r="B211" s="140" t="str">
        <f>CHOOSE(IF($B$1=2,2,1),'GAAP-IFRS'!E52,IF('Broker Actual'!E52="-",'GAAP-IFRS'!E52,'Broker Actual'!E52))</f>
        <v/>
      </c>
      <c r="C211" s="140" t="str">
        <f>CHOOSE(IF($B$1=2,2,1),'GAAP-IFRS'!F52,IF('Broker Actual'!F52="-",'GAAP-IFRS'!F52,'Broker Actual'!F52))</f>
        <v/>
      </c>
      <c r="D211" s="140" t="str">
        <f>CHOOSE(IF($B$1=2,2,1),'GAAP-IFRS'!G52,IF('Broker Actual'!G52="-",'GAAP-IFRS'!G52,'Broker Actual'!G52))</f>
        <v/>
      </c>
      <c r="E211" s="140" t="str">
        <f>CHOOSE(IF($B$1=2,2,1),'GAAP-IFRS'!H52,IF('Broker Actual'!H52="-",'GAAP-IFRS'!H52,'Broker Actual'!H52))</f>
        <v/>
      </c>
      <c r="F211" s="140" t="str">
        <f>CHOOSE(IF($B$1=2,2,1),'GAAP-IFRS'!I52,IF('Broker Actual'!I52="-",'GAAP-IFRS'!I52,'Broker Actual'!I52))</f>
        <v/>
      </c>
      <c r="G211" s="140" t="str">
        <f>CHOOSE(IF($B$1=2,2,1),'GAAP-IFRS'!J52,IF('Broker Actual'!J52="-",'GAAP-IFRS'!J52,'Broker Actual'!J52))</f>
        <v/>
      </c>
      <c r="H211" s="140" t="str">
        <f>CHOOSE(IF($B$1=2,2,1),'GAAP-IFRS'!K52,IF('Broker Actual'!K52="-",'GAAP-IFRS'!K52,'Broker Actual'!K52))</f>
        <v/>
      </c>
      <c r="I211" s="140" t="str">
        <f>CHOOSE(IF($B$1=2,2,1),'GAAP-IFRS'!L52,IF('Broker Actual'!L52="-",'GAAP-IFRS'!L52,'Broker Actual'!L52))</f>
        <v/>
      </c>
      <c r="J211" s="140" t="str">
        <f>CHOOSE(IF($B$1=2,2,1),'GAAP-IFRS'!M52,IF('Broker Actual'!M52="-",'GAAP-IFRS'!M52,'Broker Actual'!M52))</f>
        <v/>
      </c>
      <c r="K211" s="140" t="str">
        <f>CHOOSE(IF($B$1=2,2,1),'GAAP-IFRS'!N52,IF('Broker Actual'!N52="-",'GAAP-IFRS'!N52,'Broker Actual'!N52))</f>
        <v/>
      </c>
      <c r="L211" s="140" t="str">
        <f>CHOOSE(IF($B$1=2,2,1),'GAAP-IFRS'!O52,IF('Broker Actual'!O52="-",'GAAP-IFRS'!O52,'Broker Actual'!O52))</f>
        <v/>
      </c>
      <c r="M211" s="141">
        <f>M212*M$57</f>
        <v>0</v>
      </c>
      <c r="N211" s="141">
        <f t="shared" ref="N211:Q211" si="244">N212*N$57</f>
        <v>0</v>
      </c>
      <c r="O211" s="141">
        <f t="shared" si="244"/>
        <v>0</v>
      </c>
      <c r="P211" s="141">
        <f t="shared" si="244"/>
        <v>0</v>
      </c>
      <c r="Q211" s="141">
        <f t="shared" si="244"/>
        <v>0</v>
      </c>
      <c r="R211" s="124"/>
      <c r="S211" s="124"/>
      <c r="T211" s="124"/>
      <c r="U211" s="124"/>
      <c r="V211" s="124"/>
      <c r="W211" s="125"/>
      <c r="X211" s="126"/>
      <c r="Y211" s="126"/>
      <c r="Z211" s="124"/>
      <c r="AA211" s="124"/>
      <c r="AB211" s="124"/>
      <c r="AC211" s="124"/>
      <c r="AD211" s="124"/>
      <c r="AE211" s="127"/>
    </row>
    <row r="212" spans="1:31" outlineLevel="1" x14ac:dyDescent="0.3">
      <c r="A212" s="129" t="s">
        <v>137</v>
      </c>
      <c r="B212" s="130" t="str">
        <f>IFERROR(B211/B$57,"")</f>
        <v/>
      </c>
      <c r="C212" s="130" t="str">
        <f t="shared" ref="C212:L218" si="245">IFERROR(C211/C$57,"")</f>
        <v/>
      </c>
      <c r="D212" s="130" t="str">
        <f t="shared" si="245"/>
        <v/>
      </c>
      <c r="E212" s="130" t="str">
        <f t="shared" si="245"/>
        <v/>
      </c>
      <c r="F212" s="130" t="str">
        <f t="shared" si="245"/>
        <v/>
      </c>
      <c r="G212" s="130" t="str">
        <f t="shared" si="245"/>
        <v/>
      </c>
      <c r="H212" s="130" t="str">
        <f t="shared" si="245"/>
        <v/>
      </c>
      <c r="I212" s="130" t="str">
        <f t="shared" si="245"/>
        <v/>
      </c>
      <c r="J212" s="130" t="str">
        <f t="shared" si="245"/>
        <v/>
      </c>
      <c r="K212" s="130" t="str">
        <f t="shared" si="245"/>
        <v/>
      </c>
      <c r="L212" s="130" t="str">
        <f t="shared" si="245"/>
        <v/>
      </c>
      <c r="M212" s="188">
        <v>0</v>
      </c>
      <c r="N212" s="188">
        <v>0</v>
      </c>
      <c r="O212" s="188">
        <v>0</v>
      </c>
      <c r="P212" s="188">
        <v>0</v>
      </c>
      <c r="Q212" s="188">
        <v>0</v>
      </c>
      <c r="R212" s="124"/>
      <c r="S212" s="124"/>
      <c r="T212" s="124"/>
      <c r="U212" s="124"/>
      <c r="V212" s="124"/>
      <c r="W212" s="125"/>
      <c r="X212" s="126"/>
      <c r="Y212" s="126"/>
      <c r="Z212" s="124"/>
      <c r="AA212" s="124"/>
      <c r="AB212" s="124"/>
      <c r="AC212" s="124"/>
      <c r="AD212" s="124"/>
      <c r="AE212" s="127"/>
    </row>
    <row r="213" spans="1:31" outlineLevel="1" x14ac:dyDescent="0.3">
      <c r="A213" s="78" t="s">
        <v>162</v>
      </c>
      <c r="B213" s="140" t="str">
        <f>CHOOSE(IF($B$1=2,2,1),'GAAP-IFRS'!E53,IF('Broker Actual'!E53="-",'GAAP-IFRS'!E53,'Broker Actual'!E53))</f>
        <v/>
      </c>
      <c r="C213" s="140" t="str">
        <f>CHOOSE(IF($B$1=2,2,1),'GAAP-IFRS'!F53,IF('Broker Actual'!F53="-",'GAAP-IFRS'!F53,'Broker Actual'!F53))</f>
        <v/>
      </c>
      <c r="D213" s="140" t="str">
        <f>CHOOSE(IF($B$1=2,2,1),'GAAP-IFRS'!G53,IF('Broker Actual'!G53="-",'GAAP-IFRS'!G53,'Broker Actual'!G53))</f>
        <v/>
      </c>
      <c r="E213" s="140" t="str">
        <f>CHOOSE(IF($B$1=2,2,1),'GAAP-IFRS'!H53,IF('Broker Actual'!H53="-",'GAAP-IFRS'!H53,'Broker Actual'!H53))</f>
        <v/>
      </c>
      <c r="F213" s="140" t="str">
        <f>CHOOSE(IF($B$1=2,2,1),'GAAP-IFRS'!I53,IF('Broker Actual'!I53="-",'GAAP-IFRS'!I53,'Broker Actual'!I53))</f>
        <v/>
      </c>
      <c r="G213" s="140" t="str">
        <f>CHOOSE(IF($B$1=2,2,1),'GAAP-IFRS'!J53,IF('Broker Actual'!J53="-",'GAAP-IFRS'!J53,'Broker Actual'!J53))</f>
        <v/>
      </c>
      <c r="H213" s="140" t="str">
        <f>CHOOSE(IF($B$1=2,2,1),'GAAP-IFRS'!K53,IF('Broker Actual'!K53="-",'GAAP-IFRS'!K53,'Broker Actual'!K53))</f>
        <v/>
      </c>
      <c r="I213" s="140" t="str">
        <f>CHOOSE(IF($B$1=2,2,1),'GAAP-IFRS'!L53,IF('Broker Actual'!L53="-",'GAAP-IFRS'!L53,'Broker Actual'!L53))</f>
        <v/>
      </c>
      <c r="J213" s="140" t="str">
        <f>CHOOSE(IF($B$1=2,2,1),'GAAP-IFRS'!M53,IF('Broker Actual'!M53="-",'GAAP-IFRS'!M53,'Broker Actual'!M53))</f>
        <v/>
      </c>
      <c r="K213" s="140" t="str">
        <f>CHOOSE(IF($B$1=2,2,1),'GAAP-IFRS'!N53,IF('Broker Actual'!N53="-",'GAAP-IFRS'!N53,'Broker Actual'!N53))</f>
        <v/>
      </c>
      <c r="L213" s="140" t="str">
        <f>CHOOSE(IF($B$1=2,2,1),'GAAP-IFRS'!O53,IF('Broker Actual'!O53="-",'GAAP-IFRS'!O53,'Broker Actual'!O53))</f>
        <v/>
      </c>
      <c r="M213" s="141">
        <f>M214*M$57</f>
        <v>0</v>
      </c>
      <c r="N213" s="141">
        <f t="shared" ref="N213:Q213" si="246">N214*N$57</f>
        <v>0</v>
      </c>
      <c r="O213" s="141">
        <f t="shared" si="246"/>
        <v>0</v>
      </c>
      <c r="P213" s="141">
        <f t="shared" si="246"/>
        <v>0</v>
      </c>
      <c r="Q213" s="141">
        <f t="shared" si="246"/>
        <v>0</v>
      </c>
      <c r="R213" s="124"/>
      <c r="S213" s="124"/>
      <c r="T213" s="124"/>
      <c r="U213" s="124"/>
      <c r="V213" s="124"/>
      <c r="W213" s="125"/>
      <c r="X213" s="126"/>
      <c r="Y213" s="126"/>
      <c r="Z213" s="124"/>
      <c r="AA213" s="124"/>
      <c r="AB213" s="124"/>
      <c r="AC213" s="124"/>
      <c r="AD213" s="124"/>
      <c r="AE213" s="127"/>
    </row>
    <row r="214" spans="1:31" outlineLevel="1" x14ac:dyDescent="0.3">
      <c r="A214" s="129" t="s">
        <v>137</v>
      </c>
      <c r="B214" s="130" t="str">
        <f>IFERROR(B213/B$57,"")</f>
        <v/>
      </c>
      <c r="C214" s="130" t="str">
        <f t="shared" si="245"/>
        <v/>
      </c>
      <c r="D214" s="130" t="str">
        <f t="shared" si="245"/>
        <v/>
      </c>
      <c r="E214" s="130" t="str">
        <f t="shared" si="245"/>
        <v/>
      </c>
      <c r="F214" s="130" t="str">
        <f t="shared" si="245"/>
        <v/>
      </c>
      <c r="G214" s="130" t="str">
        <f t="shared" si="245"/>
        <v/>
      </c>
      <c r="H214" s="130" t="str">
        <f t="shared" si="245"/>
        <v/>
      </c>
      <c r="I214" s="130" t="str">
        <f t="shared" si="245"/>
        <v/>
      </c>
      <c r="J214" s="130" t="str">
        <f t="shared" si="245"/>
        <v/>
      </c>
      <c r="K214" s="130" t="str">
        <f t="shared" si="245"/>
        <v/>
      </c>
      <c r="L214" s="130" t="str">
        <f t="shared" si="245"/>
        <v/>
      </c>
      <c r="M214" s="188">
        <v>0</v>
      </c>
      <c r="N214" s="188">
        <v>0</v>
      </c>
      <c r="O214" s="188">
        <v>0</v>
      </c>
      <c r="P214" s="188">
        <v>0</v>
      </c>
      <c r="Q214" s="188">
        <v>0</v>
      </c>
      <c r="R214" s="124"/>
      <c r="S214" s="124"/>
      <c r="T214" s="124"/>
      <c r="U214" s="124"/>
      <c r="V214" s="124"/>
      <c r="W214" s="125"/>
      <c r="X214" s="126"/>
      <c r="Y214" s="126"/>
      <c r="Z214" s="124"/>
      <c r="AA214" s="124"/>
      <c r="AB214" s="124"/>
      <c r="AC214" s="124"/>
      <c r="AD214" s="124"/>
      <c r="AE214" s="127"/>
    </row>
    <row r="215" spans="1:31" outlineLevel="1" x14ac:dyDescent="0.3">
      <c r="A215" s="78" t="s">
        <v>163</v>
      </c>
      <c r="B215" s="140" t="str">
        <f>CHOOSE(IF($B$1=2,2,1),'GAAP-IFRS'!E54,IF('Broker Actual'!E54="-",'GAAP-IFRS'!E54,'Broker Actual'!E54))</f>
        <v/>
      </c>
      <c r="C215" s="140" t="str">
        <f>CHOOSE(IF($B$1=2,2,1),'GAAP-IFRS'!F54,IF('Broker Actual'!F54="-",'GAAP-IFRS'!F54,'Broker Actual'!F54))</f>
        <v/>
      </c>
      <c r="D215" s="140" t="str">
        <f>CHOOSE(IF($B$1=2,2,1),'GAAP-IFRS'!G54,IF('Broker Actual'!G54="-",'GAAP-IFRS'!G54,'Broker Actual'!G54))</f>
        <v/>
      </c>
      <c r="E215" s="140" t="str">
        <f>CHOOSE(IF($B$1=2,2,1),'GAAP-IFRS'!H54,IF('Broker Actual'!H54="-",'GAAP-IFRS'!H54,'Broker Actual'!H54))</f>
        <v/>
      </c>
      <c r="F215" s="140" t="str">
        <f>CHOOSE(IF($B$1=2,2,1),'GAAP-IFRS'!I54,IF('Broker Actual'!I54="-",'GAAP-IFRS'!I54,'Broker Actual'!I54))</f>
        <v/>
      </c>
      <c r="G215" s="140" t="str">
        <f>CHOOSE(IF($B$1=2,2,1),'GAAP-IFRS'!J54,IF('Broker Actual'!J54="-",'GAAP-IFRS'!J54,'Broker Actual'!J54))</f>
        <v/>
      </c>
      <c r="H215" s="140" t="str">
        <f>CHOOSE(IF($B$1=2,2,1),'GAAP-IFRS'!K54,IF('Broker Actual'!K54="-",'GAAP-IFRS'!K54,'Broker Actual'!K54))</f>
        <v/>
      </c>
      <c r="I215" s="140" t="str">
        <f>CHOOSE(IF($B$1=2,2,1),'GAAP-IFRS'!L54,IF('Broker Actual'!L54="-",'GAAP-IFRS'!L54,'Broker Actual'!L54))</f>
        <v/>
      </c>
      <c r="J215" s="140" t="str">
        <f>CHOOSE(IF($B$1=2,2,1),'GAAP-IFRS'!M54,IF('Broker Actual'!M54="-",'GAAP-IFRS'!M54,'Broker Actual'!M54))</f>
        <v/>
      </c>
      <c r="K215" s="140" t="str">
        <f>CHOOSE(IF($B$1=2,2,1),'GAAP-IFRS'!N54,IF('Broker Actual'!N54="-",'GAAP-IFRS'!N54,'Broker Actual'!N54))</f>
        <v/>
      </c>
      <c r="L215" s="140" t="str">
        <f>CHOOSE(IF($B$1=2,2,1),'GAAP-IFRS'!O54,IF('Broker Actual'!O54="-",'GAAP-IFRS'!O54,'Broker Actual'!O54))</f>
        <v/>
      </c>
      <c r="M215" s="141">
        <f>M216*M$57</f>
        <v>0</v>
      </c>
      <c r="N215" s="141">
        <f t="shared" ref="N215:Q215" si="247">N216*N$57</f>
        <v>0</v>
      </c>
      <c r="O215" s="141">
        <f t="shared" si="247"/>
        <v>0</v>
      </c>
      <c r="P215" s="141">
        <f t="shared" si="247"/>
        <v>0</v>
      </c>
      <c r="Q215" s="141">
        <f t="shared" si="247"/>
        <v>0</v>
      </c>
      <c r="R215" s="124"/>
      <c r="S215" s="124"/>
      <c r="T215" s="124"/>
      <c r="U215" s="124"/>
      <c r="V215" s="124"/>
      <c r="W215" s="125"/>
      <c r="X215" s="126"/>
      <c r="Y215" s="126"/>
      <c r="Z215" s="124"/>
      <c r="AA215" s="124"/>
      <c r="AB215" s="124"/>
      <c r="AC215" s="124"/>
      <c r="AD215" s="124"/>
      <c r="AE215" s="127"/>
    </row>
    <row r="216" spans="1:31" outlineLevel="1" x14ac:dyDescent="0.3">
      <c r="A216" s="129" t="s">
        <v>137</v>
      </c>
      <c r="B216" s="130" t="str">
        <f>IFERROR(B215/B$57,"")</f>
        <v/>
      </c>
      <c r="C216" s="130" t="str">
        <f t="shared" si="245"/>
        <v/>
      </c>
      <c r="D216" s="130" t="str">
        <f t="shared" si="245"/>
        <v/>
      </c>
      <c r="E216" s="130" t="str">
        <f t="shared" si="245"/>
        <v/>
      </c>
      <c r="F216" s="130" t="str">
        <f t="shared" si="245"/>
        <v/>
      </c>
      <c r="G216" s="130" t="str">
        <f t="shared" si="245"/>
        <v/>
      </c>
      <c r="H216" s="130" t="str">
        <f t="shared" si="245"/>
        <v/>
      </c>
      <c r="I216" s="130" t="str">
        <f t="shared" si="245"/>
        <v/>
      </c>
      <c r="J216" s="130" t="str">
        <f t="shared" si="245"/>
        <v/>
      </c>
      <c r="K216" s="130" t="str">
        <f t="shared" si="245"/>
        <v/>
      </c>
      <c r="L216" s="130" t="str">
        <f t="shared" si="245"/>
        <v/>
      </c>
      <c r="M216" s="188">
        <v>0</v>
      </c>
      <c r="N216" s="188">
        <v>0</v>
      </c>
      <c r="O216" s="188">
        <v>0</v>
      </c>
      <c r="P216" s="188">
        <v>0</v>
      </c>
      <c r="Q216" s="188">
        <v>0</v>
      </c>
      <c r="R216" s="124"/>
      <c r="S216" s="124"/>
      <c r="T216" s="124"/>
      <c r="U216" s="124"/>
      <c r="V216" s="124"/>
      <c r="W216" s="125"/>
      <c r="X216" s="126"/>
      <c r="Y216" s="126"/>
      <c r="Z216" s="124"/>
      <c r="AA216" s="124"/>
      <c r="AB216" s="124"/>
      <c r="AC216" s="124"/>
      <c r="AD216" s="124"/>
      <c r="AE216" s="127"/>
    </row>
    <row r="217" spans="1:31" outlineLevel="1" x14ac:dyDescent="0.3">
      <c r="A217" s="78" t="s">
        <v>164</v>
      </c>
      <c r="B217" s="140">
        <f>CHOOSE(IF($B$1=2,2,1),'GAAP-IFRS'!E55,IF('Broker Actual'!E55="-",'GAAP-IFRS'!E55,'Broker Actual'!E55))</f>
        <v>76.031999999999996</v>
      </c>
      <c r="C217" s="140">
        <f>CHOOSE(IF($B$1=2,2,1),'GAAP-IFRS'!F55,IF('Broker Actual'!F55="-",'GAAP-IFRS'!F55,'Broker Actual'!F55))</f>
        <v>-18.466000000000001</v>
      </c>
      <c r="D217" s="140">
        <f>CHOOSE(IF($B$1=2,2,1),'GAAP-IFRS'!G55,IF('Broker Actual'!G55="-",'GAAP-IFRS'!G55,'Broker Actual'!G55))</f>
        <v>21.529</v>
      </c>
      <c r="E217" s="140">
        <f>CHOOSE(IF($B$1=2,2,1),'GAAP-IFRS'!H55,IF('Broker Actual'!H55="-",'GAAP-IFRS'!H55,'Broker Actual'!H55))</f>
        <v>-39.213999999999999</v>
      </c>
      <c r="F217" s="140">
        <f>CHOOSE(IF($B$1=2,2,1),'GAAP-IFRS'!I55,IF('Broker Actual'!I55="-",'GAAP-IFRS'!I55,'Broker Actual'!I55))</f>
        <v>55.042999999999999</v>
      </c>
      <c r="G217" s="140">
        <f>CHOOSE(IF($B$1=2,2,1),'GAAP-IFRS'!J55,IF('Broker Actual'!J55="-",'GAAP-IFRS'!J55,'Broker Actual'!J55))</f>
        <v>16.053999999999998</v>
      </c>
      <c r="H217" s="140">
        <f>CHOOSE(IF($B$1=2,2,1),'GAAP-IFRS'!K55,IF('Broker Actual'!K55="-",'GAAP-IFRS'!K55,'Broker Actual'!K55))</f>
        <v>-7.6449999999999996</v>
      </c>
      <c r="I217" s="140">
        <f>CHOOSE(IF($B$1=2,2,1),'GAAP-IFRS'!L55,IF('Broker Actual'!L55="-",'GAAP-IFRS'!L55,'Broker Actual'!L55))</f>
        <v>14.125</v>
      </c>
      <c r="J217" s="140">
        <f>CHOOSE(IF($B$1=2,2,1),'GAAP-IFRS'!M55,IF('Broker Actual'!M55="-",'GAAP-IFRS'!M55,'Broker Actual'!M55))</f>
        <v>60.04</v>
      </c>
      <c r="K217" s="140">
        <f>CHOOSE(IF($B$1=2,2,1),'GAAP-IFRS'!N55,IF('Broker Actual'!N55="-",'GAAP-IFRS'!N55,'Broker Actual'!N55))</f>
        <v>76.244</v>
      </c>
      <c r="L217" s="140">
        <f>CHOOSE(IF($B$1=2,2,1),'GAAP-IFRS'!O55,IF('Broker Actual'!O55="-",'GAAP-IFRS'!O55,'Broker Actual'!O55))</f>
        <v>49.13</v>
      </c>
      <c r="M217" s="141">
        <f>M218*M$57</f>
        <v>55.618063381845346</v>
      </c>
      <c r="N217" s="141">
        <f t="shared" ref="N217:Q217" si="248">N218*N$57</f>
        <v>71.860388115744655</v>
      </c>
      <c r="O217" s="141">
        <f t="shared" si="248"/>
        <v>72.139680902857691</v>
      </c>
      <c r="P217" s="141">
        <f t="shared" si="248"/>
        <v>77.995808175389243</v>
      </c>
      <c r="Q217" s="141">
        <f t="shared" si="248"/>
        <v>85.606684909350022</v>
      </c>
      <c r="R217" s="124"/>
      <c r="S217" s="124"/>
      <c r="T217" s="124"/>
      <c r="U217" s="124"/>
      <c r="V217" s="124"/>
      <c r="W217" s="125"/>
      <c r="X217" s="126"/>
      <c r="Y217" s="126"/>
      <c r="Z217" s="124"/>
      <c r="AA217" s="124"/>
      <c r="AB217" s="124"/>
      <c r="AC217" s="124"/>
      <c r="AD217" s="124"/>
      <c r="AE217" s="127"/>
    </row>
    <row r="218" spans="1:31" outlineLevel="1" x14ac:dyDescent="0.3">
      <c r="A218" s="129" t="s">
        <v>137</v>
      </c>
      <c r="B218" s="130">
        <f>IFERROR(B217/B$57,"")</f>
        <v>0.32546969911004375</v>
      </c>
      <c r="C218" s="130">
        <f t="shared" si="245"/>
        <v>-7.659443854526149E-2</v>
      </c>
      <c r="D218" s="130">
        <f t="shared" si="245"/>
        <v>8.0903242292602998E-2</v>
      </c>
      <c r="E218" s="130">
        <f t="shared" si="245"/>
        <v>-0.13713490376007162</v>
      </c>
      <c r="F218" s="130">
        <f t="shared" si="245"/>
        <v>0.20814457393948099</v>
      </c>
      <c r="G218" s="130">
        <f t="shared" si="245"/>
        <v>6.5685785128024671E-2</v>
      </c>
      <c r="H218" s="130">
        <f t="shared" si="245"/>
        <v>-3.3053456237137471E-2</v>
      </c>
      <c r="I218" s="130">
        <f t="shared" si="245"/>
        <v>5.8253668434553811E-2</v>
      </c>
      <c r="J218" s="130">
        <f t="shared" si="245"/>
        <v>0.19340478100226455</v>
      </c>
      <c r="K218" s="130">
        <f t="shared" si="245"/>
        <v>0.18691148891313139</v>
      </c>
      <c r="L218" s="130">
        <f t="shared" si="245"/>
        <v>9.8345954364114238E-2</v>
      </c>
      <c r="M218" s="188">
        <f>AVERAGE(H218:L218)</f>
        <v>0.10077248729538531</v>
      </c>
      <c r="N218" s="188">
        <f t="shared" ref="N218" si="249">M218</f>
        <v>0.10077248729538531</v>
      </c>
      <c r="O218" s="188">
        <f t="shared" ref="O218" si="250">N218</f>
        <v>0.10077248729538531</v>
      </c>
      <c r="P218" s="188">
        <f t="shared" ref="P218" si="251">O218</f>
        <v>0.10077248729538531</v>
      </c>
      <c r="Q218" s="188">
        <f t="shared" ref="Q218" si="252">P218</f>
        <v>0.10077248729538531</v>
      </c>
      <c r="R218" s="124"/>
      <c r="S218" s="124"/>
      <c r="T218" s="124"/>
      <c r="U218" s="124"/>
      <c r="V218" s="124"/>
      <c r="W218" s="125"/>
      <c r="X218" s="126"/>
      <c r="Y218" s="126"/>
      <c r="Z218" s="124"/>
      <c r="AA218" s="124"/>
      <c r="AB218" s="124"/>
      <c r="AC218" s="124"/>
      <c r="AD218" s="124"/>
      <c r="AE218" s="127"/>
    </row>
    <row r="219" spans="1:31" s="118" customFormat="1" outlineLevel="1" x14ac:dyDescent="0.3">
      <c r="A219" s="118" t="s">
        <v>165</v>
      </c>
      <c r="B219" s="155">
        <f>CHOOSE(IF($B$1=2,2,1),'GAAP-IFRS'!E56,IF('Broker Actual'!E56="-",'GAAP-IFRS'!E56,'Broker Actual'!E56))</f>
        <v>106.26600000000001</v>
      </c>
      <c r="C219" s="155">
        <f>CHOOSE(IF($B$1=2,2,1),'GAAP-IFRS'!F56,IF('Broker Actual'!F56="-",'GAAP-IFRS'!F56,'Broker Actual'!F56))</f>
        <v>55.472000000000001</v>
      </c>
      <c r="D219" s="155">
        <f>CHOOSE(IF($B$1=2,2,1),'GAAP-IFRS'!G56,IF('Broker Actual'!G56="-",'GAAP-IFRS'!G56,'Broker Actual'!G56))</f>
        <v>89.414000000000001</v>
      </c>
      <c r="E219" s="155">
        <f>CHOOSE(IF($B$1=2,2,1),'GAAP-IFRS'!H56,IF('Broker Actual'!H56="-",'GAAP-IFRS'!H56,'Broker Actual'!H56))</f>
        <v>46.029000000000003</v>
      </c>
      <c r="F219" s="155">
        <f>CHOOSE(IF($B$1=2,2,1),'GAAP-IFRS'!I56,IF('Broker Actual'!I56="-",'GAAP-IFRS'!I56,'Broker Actual'!I56))</f>
        <v>88.721999999999994</v>
      </c>
      <c r="G219" s="155">
        <f>CHOOSE(IF($B$1=2,2,1),'GAAP-IFRS'!J56,IF('Broker Actual'!J56="-",'GAAP-IFRS'!J56,'Broker Actual'!J56))</f>
        <v>29.673999999999999</v>
      </c>
      <c r="H219" s="155">
        <f>CHOOSE(IF($B$1=2,2,1),'GAAP-IFRS'!K56,IF('Broker Actual'!K56="-",'GAAP-IFRS'!K56,'Broker Actual'!K56))</f>
        <v>30.414999999999999</v>
      </c>
      <c r="I219" s="155">
        <f>CHOOSE(IF($B$1=2,2,1),'GAAP-IFRS'!L56,IF('Broker Actual'!L56="-",'GAAP-IFRS'!L56,'Broker Actual'!L56))</f>
        <v>56.473999999999997</v>
      </c>
      <c r="J219" s="155">
        <f>CHOOSE(IF($B$1=2,2,1),'GAAP-IFRS'!M56,IF('Broker Actual'!M56="-",'GAAP-IFRS'!M56,'Broker Actual'!M56))</f>
        <v>79.703000000000003</v>
      </c>
      <c r="K219" s="155">
        <f>CHOOSE(IF($B$1=2,2,1),'GAAP-IFRS'!N56,IF('Broker Actual'!N56="-",'GAAP-IFRS'!N56,'Broker Actual'!N56))</f>
        <v>102.089</v>
      </c>
      <c r="L219" s="155">
        <f>CHOOSE(IF($B$1=2,2,1),'GAAP-IFRS'!O56,IF('Broker Actual'!O56="-",'GAAP-IFRS'!O56,'Broker Actual'!O56))</f>
        <v>5.7750000000000101</v>
      </c>
      <c r="M219" s="156">
        <f>SUM(M208,M209,M211,M213,M215,M217)</f>
        <v>87.80249986056532</v>
      </c>
      <c r="N219" s="156">
        <f t="shared" ref="N219:Q219" si="253">SUM(N208,N209,N211,N213,N215,N217)</f>
        <v>108.8629888868294</v>
      </c>
      <c r="O219" s="156">
        <f t="shared" si="253"/>
        <v>110.23122440476999</v>
      </c>
      <c r="P219" s="156">
        <f t="shared" si="253"/>
        <v>137.0425462165822</v>
      </c>
      <c r="Q219" s="156">
        <f t="shared" si="253"/>
        <v>150.72639093757223</v>
      </c>
      <c r="R219" s="157"/>
      <c r="S219" s="157"/>
      <c r="T219" s="157"/>
      <c r="U219" s="157"/>
      <c r="V219" s="157"/>
      <c r="W219" s="158"/>
      <c r="X219" s="159" t="s">
        <v>91</v>
      </c>
      <c r="Y219" s="159" t="s">
        <v>166</v>
      </c>
      <c r="Z219" s="157" t="str" cm="1">
        <f t="array" ref="Z219">_xll.FDSC("--",$A$1,""&amp;$X219&amp;"("&amp;$Y219&amp;","&amp;D$2&amp;",ANNUAL_ROLL,+1,0,,,'CURRENCY="&amp;$E$1&amp;"')")</f>
        <v>--</v>
      </c>
      <c r="AA219" s="157" t="str" cm="1">
        <f t="array" ref="AA219">_xll.FDSC("--",$A$1,""&amp;$X219&amp;"("&amp;$Y219&amp;","&amp;D$2&amp;",ANNUAL_ROLL,+2,0,,,'CURRENCY="&amp;$E$1&amp;"')")</f>
        <v>--</v>
      </c>
      <c r="AB219" s="157" t="str" cm="1">
        <f t="array" ref="AB219">_xll.FDSC("--",$A$1,""&amp;$X219&amp;"("&amp;$Y219&amp;","&amp;D$2&amp;",ANNUAL_ROLL,+3,0,,,'CURRENCY="&amp;$E$1&amp;"')")</f>
        <v>--</v>
      </c>
      <c r="AC219" s="157"/>
      <c r="AD219" s="157" cm="1">
        <f t="array" ref="AD219">_xll.FDSC("--",$A$1,"FF_OPER_CF(LTM_R,0,,,,"&amp;$E$1&amp;")@FF_OPER_CF(LTM_SEMI_R,0,,,,"&amp;$E$1&amp;")")</f>
        <v>-9.5960000000000001</v>
      </c>
      <c r="AE219" s="160"/>
    </row>
    <row r="220" spans="1:31" s="118" customFormat="1" outlineLevel="1" x14ac:dyDescent="0.3">
      <c r="B220" s="155"/>
      <c r="C220" s="155"/>
      <c r="D220" s="155"/>
      <c r="E220" s="155"/>
      <c r="F220" s="155"/>
      <c r="G220" s="155"/>
      <c r="H220" s="155"/>
      <c r="I220" s="155"/>
      <c r="J220" s="155"/>
      <c r="K220" s="155"/>
      <c r="L220" s="155"/>
      <c r="M220" s="157"/>
      <c r="N220" s="157"/>
      <c r="O220" s="157"/>
      <c r="P220" s="157"/>
      <c r="Q220" s="157"/>
      <c r="R220" s="157"/>
      <c r="S220" s="157"/>
      <c r="T220" s="157"/>
      <c r="U220" s="157"/>
      <c r="V220" s="157"/>
      <c r="W220" s="158"/>
      <c r="X220" s="159"/>
      <c r="Y220" s="159"/>
      <c r="Z220" s="157"/>
      <c r="AA220" s="157"/>
      <c r="AB220" s="157"/>
      <c r="AC220" s="157"/>
      <c r="AD220" s="157"/>
      <c r="AE220" s="160"/>
    </row>
    <row r="221" spans="1:31" outlineLevel="1" x14ac:dyDescent="0.3">
      <c r="A221" s="42" t="s">
        <v>167</v>
      </c>
      <c r="B221" s="140"/>
      <c r="C221" s="140"/>
      <c r="D221" s="140"/>
      <c r="E221" s="140"/>
      <c r="F221" s="140"/>
      <c r="G221" s="140"/>
      <c r="H221" s="140"/>
      <c r="I221" s="140"/>
      <c r="J221" s="140"/>
      <c r="K221" s="140"/>
      <c r="L221" s="140"/>
      <c r="M221" s="124"/>
      <c r="N221" s="124"/>
      <c r="O221" s="124"/>
      <c r="P221" s="124"/>
      <c r="Q221" s="124"/>
      <c r="R221" s="124"/>
      <c r="S221" s="124"/>
      <c r="T221" s="124"/>
      <c r="U221" s="124"/>
      <c r="V221" s="124"/>
      <c r="W221" s="190"/>
      <c r="X221" s="126"/>
      <c r="Y221" s="126"/>
      <c r="Z221" s="124"/>
      <c r="AA221" s="124"/>
      <c r="AB221" s="124"/>
      <c r="AC221" s="124"/>
      <c r="AD221" s="124"/>
      <c r="AE221" s="127"/>
    </row>
    <row r="222" spans="1:31" outlineLevel="1" x14ac:dyDescent="0.3">
      <c r="A222" s="182" t="s">
        <v>168</v>
      </c>
      <c r="B222" s="140">
        <f>'GAAP-IFRS'!E59</f>
        <v>-1.196</v>
      </c>
      <c r="C222" s="140">
        <f>'GAAP-IFRS'!F59</f>
        <v>-3.4329999999999998</v>
      </c>
      <c r="D222" s="140">
        <f>'GAAP-IFRS'!G59</f>
        <v>-0.45300000000000001</v>
      </c>
      <c r="E222" s="140">
        <f>'GAAP-IFRS'!H59</f>
        <v>-0.84</v>
      </c>
      <c r="F222" s="140">
        <f>'GAAP-IFRS'!I59</f>
        <v>-0.86499999999999999</v>
      </c>
      <c r="G222" s="140">
        <f>'GAAP-IFRS'!J59</f>
        <v>-2.9769999999999999</v>
      </c>
      <c r="H222" s="140">
        <f>'GAAP-IFRS'!K59</f>
        <v>-2.5960000000000001</v>
      </c>
      <c r="I222" s="140">
        <f>'GAAP-IFRS'!L59</f>
        <v>-2.887</v>
      </c>
      <c r="J222" s="140">
        <f>'GAAP-IFRS'!M59</f>
        <v>-6.4370000000000003</v>
      </c>
      <c r="K222" s="140">
        <f>'GAAP-IFRS'!N59</f>
        <v>-3.3180000000000001</v>
      </c>
      <c r="L222" s="140">
        <f>'GAAP-IFRS'!O59</f>
        <v>-10.141</v>
      </c>
      <c r="M222" s="141">
        <f>M223*M$57</f>
        <v>-7.9806572418408646</v>
      </c>
      <c r="N222" s="141">
        <f t="shared" ref="N222:Q222" si="254">N223*N$57</f>
        <v>-10.311274646154084</v>
      </c>
      <c r="O222" s="141">
        <f t="shared" si="254"/>
        <v>-10.35135047527393</v>
      </c>
      <c r="P222" s="141">
        <f t="shared" si="254"/>
        <v>-11.191648423187125</v>
      </c>
      <c r="Q222" s="141">
        <f t="shared" si="254"/>
        <v>-12.283736044193159</v>
      </c>
      <c r="R222" s="124"/>
      <c r="S222" s="124"/>
      <c r="T222" s="124"/>
      <c r="U222" s="124"/>
      <c r="V222" s="124"/>
      <c r="W222" s="125"/>
      <c r="X222" s="126" t="s">
        <v>91</v>
      </c>
      <c r="Y222" s="126" t="s">
        <v>169</v>
      </c>
      <c r="Z222" s="124" t="str" cm="1">
        <f t="array" ref="Z222">_xll.FDSC("--",$A$1,""&amp;$X222&amp;"("&amp;$Y222&amp;","&amp;D$2&amp;",ANNUAL_ROLL,+1,0,,,'CURRENCY="&amp;$E$1&amp;"')")</f>
        <v>--</v>
      </c>
      <c r="AA222" s="124" t="str" cm="1">
        <f t="array" ref="AA222">_xll.FDSC("--",$A$1,""&amp;$X222&amp;"("&amp;$Y222&amp;","&amp;D$2&amp;",ANNUAL_ROLL,+2,0,,,'CURRENCY="&amp;$E$1&amp;"')")</f>
        <v>--</v>
      </c>
      <c r="AB222" s="124" t="str" cm="1">
        <f t="array" ref="AB222">_xll.FDSC("--",$A$1,""&amp;$X222&amp;"("&amp;$Y222&amp;","&amp;D$2&amp;",ANNUAL_ROLL,+3,0,,,'CURRENCY="&amp;$E$1&amp;"')")</f>
        <v>--</v>
      </c>
      <c r="AC222" s="124"/>
      <c r="AD222" s="124" cm="1">
        <f t="array" ref="AD222">_xll.FDSC("--",$A$1,"FF_CAPEX_FIX(LTM_R,0,,,,"&amp;$E$1&amp;")@FF_CAPEX_FIX(LTM_SEMI_R,0,,,,"&amp;$E$1&amp;")")</f>
        <v>4.8739999999999997</v>
      </c>
      <c r="AE222" s="127"/>
    </row>
    <row r="223" spans="1:31" outlineLevel="1" x14ac:dyDescent="0.3">
      <c r="A223" s="129" t="s">
        <v>137</v>
      </c>
      <c r="B223" s="130">
        <f>IFERROR(B222/B$57,"")</f>
        <v>-5.1197095977432178E-3</v>
      </c>
      <c r="C223" s="130">
        <f t="shared" ref="C223:L223" si="255">IFERROR(C222/C$57,"")</f>
        <v>-1.4239613750995486E-2</v>
      </c>
      <c r="D223" s="130">
        <f t="shared" si="255"/>
        <v>-1.7023163527590303E-3</v>
      </c>
      <c r="E223" s="130">
        <f t="shared" si="255"/>
        <v>-2.9375559534467323E-3</v>
      </c>
      <c r="F223" s="130">
        <f t="shared" si="255"/>
        <v>-3.2709891622486249E-3</v>
      </c>
      <c r="G223" s="130">
        <f t="shared" si="255"/>
        <v>-1.2180552032274167E-2</v>
      </c>
      <c r="H223" s="130">
        <f t="shared" si="255"/>
        <v>-1.1223907441675458E-2</v>
      </c>
      <c r="I223" s="130">
        <f t="shared" si="255"/>
        <v>-1.1906431204995176E-2</v>
      </c>
      <c r="J223" s="130">
        <f t="shared" si="255"/>
        <v>-2.0735286064483292E-2</v>
      </c>
      <c r="K223" s="130">
        <f t="shared" si="255"/>
        <v>-8.1340475344128058E-3</v>
      </c>
      <c r="L223" s="130">
        <f t="shared" si="255"/>
        <v>-2.02997419744857E-2</v>
      </c>
      <c r="M223" s="188">
        <f>AVERAGE(H223:L223)</f>
        <v>-1.4459882844010485E-2</v>
      </c>
      <c r="N223" s="188">
        <f t="shared" ref="N223" si="256">M223</f>
        <v>-1.4459882844010485E-2</v>
      </c>
      <c r="O223" s="188">
        <f t="shared" ref="O223" si="257">N223</f>
        <v>-1.4459882844010485E-2</v>
      </c>
      <c r="P223" s="188">
        <f t="shared" ref="P223" si="258">O223</f>
        <v>-1.4459882844010485E-2</v>
      </c>
      <c r="Q223" s="188">
        <f t="shared" ref="Q223" si="259">P223</f>
        <v>-1.4459882844010485E-2</v>
      </c>
      <c r="R223" s="124"/>
      <c r="S223" s="124"/>
      <c r="T223" s="124"/>
      <c r="U223" s="124"/>
      <c r="V223" s="124"/>
      <c r="W223" s="125"/>
      <c r="X223" s="126"/>
      <c r="Y223" s="126"/>
      <c r="Z223" s="124"/>
      <c r="AA223" s="124"/>
      <c r="AB223" s="124"/>
      <c r="AC223" s="124"/>
      <c r="AD223" s="124"/>
      <c r="AE223" s="127"/>
    </row>
    <row r="224" spans="1:31" outlineLevel="1" x14ac:dyDescent="0.3">
      <c r="A224" s="45" t="s">
        <v>170</v>
      </c>
      <c r="B224" s="140">
        <f>CHOOSE(IF($B$1=2,2,1),'GAAP-IFRS'!E60,IF('Broker Actual'!E60="-",'GAAP-IFRS'!E60,'Broker Actual'!E60))</f>
        <v>-8.157</v>
      </c>
      <c r="C224" s="140">
        <f>CHOOSE(IF($B$1=2,2,1),'GAAP-IFRS'!F60,IF('Broker Actual'!F60="-",'GAAP-IFRS'!F60,'Broker Actual'!F60))</f>
        <v>0</v>
      </c>
      <c r="D224" s="140">
        <f>CHOOSE(IF($B$1=2,2,1),'GAAP-IFRS'!G60,IF('Broker Actual'!G60="-",'GAAP-IFRS'!G60,'Broker Actual'!G60))</f>
        <v>0</v>
      </c>
      <c r="E224" s="140">
        <f>CHOOSE(IF($B$1=2,2,1),'GAAP-IFRS'!H60,IF('Broker Actual'!H60="-",'GAAP-IFRS'!H60,'Broker Actual'!H60))</f>
        <v>0</v>
      </c>
      <c r="F224" s="140">
        <f>CHOOSE(IF($B$1=2,2,1),'GAAP-IFRS'!I60,IF('Broker Actual'!I60="-",'GAAP-IFRS'!I60,'Broker Actual'!I60))</f>
        <v>-13.715</v>
      </c>
      <c r="G224" s="140">
        <f>CHOOSE(IF($B$1=2,2,1),'GAAP-IFRS'!J60,IF('Broker Actual'!J60="-",'GAAP-IFRS'!J60,'Broker Actual'!J60))</f>
        <v>0</v>
      </c>
      <c r="H224" s="140">
        <f>CHOOSE(IF($B$1=2,2,1),'GAAP-IFRS'!K60,IF('Broker Actual'!K60="-",'GAAP-IFRS'!K60,'Broker Actual'!K60))</f>
        <v>-0.53900000000000003</v>
      </c>
      <c r="I224" s="140">
        <f>CHOOSE(IF($B$1=2,2,1),'GAAP-IFRS'!L60,IF('Broker Actual'!L60="-",'GAAP-IFRS'!L60,'Broker Actual'!L60))</f>
        <v>0</v>
      </c>
      <c r="J224" s="140">
        <f>CHOOSE(IF($B$1=2,2,1),'GAAP-IFRS'!M60,IF('Broker Actual'!M60="-",'GAAP-IFRS'!M60,'Broker Actual'!M60))</f>
        <v>0</v>
      </c>
      <c r="K224" s="140">
        <f>CHOOSE(IF($B$1=2,2,1),'GAAP-IFRS'!N60,IF('Broker Actual'!N60="-",'GAAP-IFRS'!N60,'Broker Actual'!N60))</f>
        <v>-6.3170000000000002</v>
      </c>
      <c r="L224" s="140">
        <f>CHOOSE(IF($B$1=2,2,1),'GAAP-IFRS'!O60,IF('Broker Actual'!O60="-",'GAAP-IFRS'!O60,'Broker Actual'!O60))</f>
        <v>-0.40600000000000003</v>
      </c>
      <c r="M224" s="213">
        <v>0</v>
      </c>
      <c r="N224" s="213">
        <v>0</v>
      </c>
      <c r="O224" s="213">
        <v>0</v>
      </c>
      <c r="P224" s="213">
        <v>0</v>
      </c>
      <c r="Q224" s="213">
        <v>0</v>
      </c>
      <c r="R224" s="124"/>
      <c r="S224" s="124"/>
      <c r="T224" s="124"/>
      <c r="U224" s="124"/>
      <c r="V224" s="124"/>
      <c r="W224" s="125"/>
      <c r="X224" s="126"/>
      <c r="Y224" s="126"/>
      <c r="Z224" s="124"/>
      <c r="AA224" s="124"/>
      <c r="AB224" s="124"/>
      <c r="AC224" s="124"/>
      <c r="AD224" s="124"/>
      <c r="AE224" s="127"/>
    </row>
    <row r="225" spans="1:31" outlineLevel="1" x14ac:dyDescent="0.3">
      <c r="A225" s="45" t="s">
        <v>171</v>
      </c>
      <c r="B225" s="140">
        <f>CHOOSE(IF($B$1=2,2,1),'GAAP-IFRS'!E61,IF('Broker Actual'!E61="-",'GAAP-IFRS'!E61,'Broker Actual'!E61))</f>
        <v>0</v>
      </c>
      <c r="C225" s="140">
        <f>CHOOSE(IF($B$1=2,2,1),'GAAP-IFRS'!F61,IF('Broker Actual'!F61="-",'GAAP-IFRS'!F61,'Broker Actual'!F61))</f>
        <v>1E-3</v>
      </c>
      <c r="D225" s="140">
        <f>CHOOSE(IF($B$1=2,2,1),'GAAP-IFRS'!G61,IF('Broker Actual'!G61="-",'GAAP-IFRS'!G61,'Broker Actual'!G61))</f>
        <v>0</v>
      </c>
      <c r="E225" s="140">
        <f>CHOOSE(IF($B$1=2,2,1),'GAAP-IFRS'!H61,IF('Broker Actual'!H61="-",'GAAP-IFRS'!H61,'Broker Actual'!H61))</f>
        <v>0</v>
      </c>
      <c r="F225" s="140">
        <f>CHOOSE(IF($B$1=2,2,1),'GAAP-IFRS'!I61,IF('Broker Actual'!I61="-",'GAAP-IFRS'!I61,'Broker Actual'!I61))</f>
        <v>0</v>
      </c>
      <c r="G225" s="140">
        <f>CHOOSE(IF($B$1=2,2,1),'GAAP-IFRS'!J61,IF('Broker Actual'!J61="-",'GAAP-IFRS'!J61,'Broker Actual'!J61))</f>
        <v>0</v>
      </c>
      <c r="H225" s="140">
        <f>CHOOSE(IF($B$1=2,2,1),'GAAP-IFRS'!K61,IF('Broker Actual'!K61="-",'GAAP-IFRS'!K61,'Broker Actual'!K61))</f>
        <v>0</v>
      </c>
      <c r="I225" s="140">
        <f>CHOOSE(IF($B$1=2,2,1),'GAAP-IFRS'!L61,IF('Broker Actual'!L61="-",'GAAP-IFRS'!L61,'Broker Actual'!L61))</f>
        <v>0</v>
      </c>
      <c r="J225" s="140">
        <f>CHOOSE(IF($B$1=2,2,1),'GAAP-IFRS'!M61,IF('Broker Actual'!M61="-",'GAAP-IFRS'!M61,'Broker Actual'!M61))</f>
        <v>0</v>
      </c>
      <c r="K225" s="140">
        <f>CHOOSE(IF($B$1=2,2,1),'GAAP-IFRS'!N61,IF('Broker Actual'!N61="-",'GAAP-IFRS'!N61,'Broker Actual'!N61))</f>
        <v>100</v>
      </c>
      <c r="L225" s="140">
        <f>CHOOSE(IF($B$1=2,2,1),'GAAP-IFRS'!O61,IF('Broker Actual'!O61="-",'GAAP-IFRS'!O61,'Broker Actual'!O61))</f>
        <v>0</v>
      </c>
      <c r="M225" s="148">
        <v>0</v>
      </c>
      <c r="N225" s="148">
        <v>0</v>
      </c>
      <c r="O225" s="148">
        <v>0</v>
      </c>
      <c r="P225" s="148">
        <v>0</v>
      </c>
      <c r="Q225" s="148">
        <v>0</v>
      </c>
      <c r="R225" s="124"/>
      <c r="S225" s="124"/>
      <c r="T225" s="124"/>
      <c r="U225" s="124"/>
      <c r="V225" s="124"/>
      <c r="W225" s="125"/>
      <c r="X225" s="126"/>
      <c r="Y225" s="126"/>
      <c r="Z225" s="124"/>
      <c r="AA225" s="124"/>
      <c r="AB225" s="124"/>
      <c r="AC225" s="124"/>
      <c r="AD225" s="124"/>
      <c r="AE225" s="127"/>
    </row>
    <row r="226" spans="1:31" outlineLevel="1" x14ac:dyDescent="0.3">
      <c r="A226" s="46" t="s">
        <v>172</v>
      </c>
      <c r="B226" s="140"/>
      <c r="C226" s="140"/>
      <c r="D226" s="140"/>
      <c r="E226" s="140"/>
      <c r="F226" s="140"/>
      <c r="G226" s="140"/>
      <c r="H226" s="140"/>
      <c r="I226" s="140"/>
      <c r="J226" s="140"/>
      <c r="K226" s="140"/>
      <c r="L226" s="140"/>
      <c r="M226" s="124"/>
      <c r="N226" s="124"/>
      <c r="O226" s="124"/>
      <c r="P226" s="124"/>
      <c r="Q226" s="124"/>
      <c r="R226" s="124"/>
      <c r="S226" s="124"/>
      <c r="T226" s="124"/>
      <c r="U226" s="124"/>
      <c r="V226" s="124"/>
      <c r="W226" s="125"/>
      <c r="X226" s="126"/>
      <c r="Y226" s="126"/>
      <c r="Z226" s="124"/>
      <c r="AA226" s="124"/>
      <c r="AB226" s="124"/>
      <c r="AC226" s="124"/>
      <c r="AD226" s="124"/>
      <c r="AE226" s="127"/>
    </row>
    <row r="227" spans="1:31" outlineLevel="1" x14ac:dyDescent="0.3">
      <c r="A227" s="195" t="s">
        <v>173</v>
      </c>
      <c r="B227" s="140">
        <f>CHOOSE(IF($B$1=2,2,1),'GAAP-IFRS'!E63,IF('Broker Actual'!E63="-",'GAAP-IFRS'!E63,'Broker Actual'!E63))</f>
        <v>-18.138000000000002</v>
      </c>
      <c r="C227" s="140">
        <f>CHOOSE(IF($B$1=2,2,1),'GAAP-IFRS'!F63,IF('Broker Actual'!F63="-",'GAAP-IFRS'!F63,'Broker Actual'!F63))</f>
        <v>-94.78</v>
      </c>
      <c r="D227" s="140">
        <f>CHOOSE(IF($B$1=2,2,1),'GAAP-IFRS'!G63,IF('Broker Actual'!G63="-",'GAAP-IFRS'!G63,'Broker Actual'!G63))</f>
        <v>-137.97800000000001</v>
      </c>
      <c r="E227" s="140">
        <f>CHOOSE(IF($B$1=2,2,1),'GAAP-IFRS'!H63,IF('Broker Actual'!H63="-",'GAAP-IFRS'!H63,'Broker Actual'!H63))</f>
        <v>-168.28899999999999</v>
      </c>
      <c r="F227" s="140">
        <f>CHOOSE(IF($B$1=2,2,1),'GAAP-IFRS'!I63,IF('Broker Actual'!I63="-",'GAAP-IFRS'!I63,'Broker Actual'!I63))</f>
        <v>-114.985</v>
      </c>
      <c r="G227" s="140">
        <f>CHOOSE(IF($B$1=2,2,1),'GAAP-IFRS'!J63,IF('Broker Actual'!J63="-",'GAAP-IFRS'!J63,'Broker Actual'!J63))</f>
        <v>-181.3</v>
      </c>
      <c r="H227" s="140">
        <f>CHOOSE(IF($B$1=2,2,1),'GAAP-IFRS'!K63,IF('Broker Actual'!K63="-",'GAAP-IFRS'!K63,'Broker Actual'!K63))</f>
        <v>-381.61599999999999</v>
      </c>
      <c r="I227" s="140">
        <f>CHOOSE(IF($B$1=2,2,1),'GAAP-IFRS'!L63,IF('Broker Actual'!L63="-",'GAAP-IFRS'!L63,'Broker Actual'!L63))</f>
        <v>-121.13200000000001</v>
      </c>
      <c r="J227" s="140">
        <f>CHOOSE(IF($B$1=2,2,1),'GAAP-IFRS'!M63,IF('Broker Actual'!M63="-",'GAAP-IFRS'!M63,'Broker Actual'!M63))</f>
        <v>-110.63500000000001</v>
      </c>
      <c r="K227" s="140">
        <f>CHOOSE(IF($B$1=2,2,1),'GAAP-IFRS'!N63,IF('Broker Actual'!N63="-",'GAAP-IFRS'!N63,'Broker Actual'!N63))</f>
        <v>-127.53400000000001</v>
      </c>
      <c r="L227" s="140">
        <f>CHOOSE(IF($B$1=2,2,1),'GAAP-IFRS'!O63,IF('Broker Actual'!O63="-",'GAAP-IFRS'!O63,'Broker Actual'!O63))</f>
        <v>-640.58000000000004</v>
      </c>
      <c r="M227" s="148">
        <f>AVERAGE(H227:L227)</f>
        <v>-276.29939999999999</v>
      </c>
      <c r="N227" s="148">
        <f t="shared" ref="N227:Q227" si="260">M227</f>
        <v>-276.29939999999999</v>
      </c>
      <c r="O227" s="148">
        <f t="shared" si="260"/>
        <v>-276.29939999999999</v>
      </c>
      <c r="P227" s="148">
        <f t="shared" si="260"/>
        <v>-276.29939999999999</v>
      </c>
      <c r="Q227" s="148">
        <f t="shared" si="260"/>
        <v>-276.29939999999999</v>
      </c>
      <c r="R227" s="124"/>
      <c r="S227" s="124"/>
      <c r="T227" s="124"/>
      <c r="U227" s="124"/>
      <c r="V227" s="124"/>
      <c r="W227" s="125"/>
      <c r="X227" s="126"/>
      <c r="Y227" s="126"/>
      <c r="Z227" s="124"/>
      <c r="AA227" s="124"/>
      <c r="AB227" s="124"/>
      <c r="AC227" s="124"/>
      <c r="AD227" s="124"/>
      <c r="AE227" s="127"/>
    </row>
    <row r="228" spans="1:31" outlineLevel="1" x14ac:dyDescent="0.3">
      <c r="A228" s="195" t="s">
        <v>174</v>
      </c>
      <c r="B228" s="140">
        <f>CHOOSE(IF($B$1=2,2,1),'GAAP-IFRS'!E64,IF('Broker Actual'!E64="-",'GAAP-IFRS'!E64,'Broker Actual'!E64))</f>
        <v>26.28</v>
      </c>
      <c r="C228" s="140">
        <f>CHOOSE(IF($B$1=2,2,1),'GAAP-IFRS'!F64,IF('Broker Actual'!F64="-",'GAAP-IFRS'!F64,'Broker Actual'!F64))</f>
        <v>8.1720000000000006</v>
      </c>
      <c r="D228" s="140">
        <f>CHOOSE(IF($B$1=2,2,1),'GAAP-IFRS'!G64,IF('Broker Actual'!G64="-",'GAAP-IFRS'!G64,'Broker Actual'!G64))</f>
        <v>119.779</v>
      </c>
      <c r="E228" s="140">
        <f>CHOOSE(IF($B$1=2,2,1),'GAAP-IFRS'!H64,IF('Broker Actual'!H64="-",'GAAP-IFRS'!H64,'Broker Actual'!H64))</f>
        <v>88.754999999999995</v>
      </c>
      <c r="F228" s="140">
        <f>CHOOSE(IF($B$1=2,2,1),'GAAP-IFRS'!I64,IF('Broker Actual'!I64="-",'GAAP-IFRS'!I64,'Broker Actual'!I64))</f>
        <v>78.472999999999999</v>
      </c>
      <c r="G228" s="140">
        <f>CHOOSE(IF($B$1=2,2,1),'GAAP-IFRS'!J64,IF('Broker Actual'!J64="-",'GAAP-IFRS'!J64,'Broker Actual'!J64))</f>
        <v>91.938000000000002</v>
      </c>
      <c r="H228" s="140">
        <f>CHOOSE(IF($B$1=2,2,1),'GAAP-IFRS'!K64,IF('Broker Actual'!K64="-",'GAAP-IFRS'!K64,'Broker Actual'!K64))</f>
        <v>365.68099999999998</v>
      </c>
      <c r="I228" s="140">
        <f>CHOOSE(IF($B$1=2,2,1),'GAAP-IFRS'!L64,IF('Broker Actual'!L64="-",'GAAP-IFRS'!L64,'Broker Actual'!L64))</f>
        <v>172.357</v>
      </c>
      <c r="J228" s="140">
        <f>CHOOSE(IF($B$1=2,2,1),'GAAP-IFRS'!M64,IF('Broker Actual'!M64="-",'GAAP-IFRS'!M64,'Broker Actual'!M64))</f>
        <v>214.20099999999999</v>
      </c>
      <c r="K228" s="140">
        <f>CHOOSE(IF($B$1=2,2,1),'GAAP-IFRS'!N64,IF('Broker Actual'!N64="-",'GAAP-IFRS'!N64,'Broker Actual'!N64))</f>
        <v>162.42400000000001</v>
      </c>
      <c r="L228" s="140">
        <f>CHOOSE(IF($B$1=2,2,1),'GAAP-IFRS'!O64,IF('Broker Actual'!O64="-",'GAAP-IFRS'!O64,'Broker Actual'!O64))</f>
        <v>195.97300000000001</v>
      </c>
      <c r="M228" s="148">
        <f>AVERAGE(H228:L228)</f>
        <v>222.12719999999999</v>
      </c>
      <c r="N228" s="148">
        <f t="shared" ref="N228:Q228" si="261">M228</f>
        <v>222.12719999999999</v>
      </c>
      <c r="O228" s="148">
        <f t="shared" si="261"/>
        <v>222.12719999999999</v>
      </c>
      <c r="P228" s="148">
        <f t="shared" si="261"/>
        <v>222.12719999999999</v>
      </c>
      <c r="Q228" s="148">
        <f t="shared" si="261"/>
        <v>222.12719999999999</v>
      </c>
      <c r="R228" s="124"/>
      <c r="S228" s="124"/>
      <c r="T228" s="124"/>
      <c r="U228" s="124"/>
      <c r="V228" s="124"/>
      <c r="W228" s="125"/>
      <c r="X228" s="126"/>
      <c r="Y228" s="126"/>
      <c r="Z228" s="124"/>
      <c r="AA228" s="124"/>
      <c r="AB228" s="124"/>
      <c r="AC228" s="124"/>
      <c r="AD228" s="124"/>
      <c r="AE228" s="127"/>
    </row>
    <row r="229" spans="1:31" outlineLevel="1" x14ac:dyDescent="0.3">
      <c r="A229" s="46" t="s">
        <v>163</v>
      </c>
      <c r="B229" s="140"/>
      <c r="C229" s="140"/>
      <c r="D229" s="140"/>
      <c r="E229" s="140"/>
      <c r="F229" s="140"/>
      <c r="G229" s="140"/>
      <c r="H229" s="140"/>
      <c r="I229" s="140"/>
      <c r="J229" s="140"/>
      <c r="K229" s="140"/>
      <c r="L229" s="140"/>
      <c r="M229" s="124"/>
      <c r="N229" s="124"/>
      <c r="O229" s="124"/>
      <c r="P229" s="124"/>
      <c r="Q229" s="124"/>
      <c r="R229" s="124"/>
      <c r="S229" s="124"/>
      <c r="T229" s="124"/>
      <c r="U229" s="124"/>
      <c r="V229" s="124"/>
      <c r="W229" s="125"/>
      <c r="X229" s="126"/>
      <c r="Y229" s="126"/>
      <c r="Z229" s="124"/>
      <c r="AA229" s="124"/>
      <c r="AB229" s="124"/>
      <c r="AC229" s="124"/>
      <c r="AD229" s="124"/>
      <c r="AE229" s="127"/>
    </row>
    <row r="230" spans="1:31" outlineLevel="1" x14ac:dyDescent="0.3">
      <c r="A230" s="195" t="s">
        <v>175</v>
      </c>
      <c r="B230" s="140">
        <f>CHOOSE(IF($B$1=2,2,1),'GAAP-IFRS'!E66,IF('Broker Actual'!E66="-",'GAAP-IFRS'!E66,'Broker Actual'!E66))</f>
        <v>0</v>
      </c>
      <c r="C230" s="140">
        <f>CHOOSE(IF($B$1=2,2,1),'GAAP-IFRS'!F66,IF('Broker Actual'!F66="-",'GAAP-IFRS'!F66,'Broker Actual'!F66))</f>
        <v>0</v>
      </c>
      <c r="D230" s="140">
        <f>CHOOSE(IF($B$1=2,2,1),'GAAP-IFRS'!G66,IF('Broker Actual'!G66="-",'GAAP-IFRS'!G66,'Broker Actual'!G66))</f>
        <v>0</v>
      </c>
      <c r="E230" s="140">
        <f>CHOOSE(IF($B$1=2,2,1),'GAAP-IFRS'!H66,IF('Broker Actual'!H66="-",'GAAP-IFRS'!H66,'Broker Actual'!H66))</f>
        <v>0</v>
      </c>
      <c r="F230" s="140">
        <f>CHOOSE(IF($B$1=2,2,1),'GAAP-IFRS'!I66,IF('Broker Actual'!I66="-",'GAAP-IFRS'!I66,'Broker Actual'!I66))</f>
        <v>0</v>
      </c>
      <c r="G230" s="140">
        <f>CHOOSE(IF($B$1=2,2,1),'GAAP-IFRS'!J66,IF('Broker Actual'!J66="-",'GAAP-IFRS'!J66,'Broker Actual'!J66))</f>
        <v>0</v>
      </c>
      <c r="H230" s="140">
        <f>CHOOSE(IF($B$1=2,2,1),'GAAP-IFRS'!K66,IF('Broker Actual'!K66="-",'GAAP-IFRS'!K66,'Broker Actual'!K66))</f>
        <v>0</v>
      </c>
      <c r="I230" s="140">
        <f>CHOOSE(IF($B$1=2,2,1),'GAAP-IFRS'!L66,IF('Broker Actual'!L66="-",'GAAP-IFRS'!L66,'Broker Actual'!L66))</f>
        <v>0</v>
      </c>
      <c r="J230" s="140">
        <f>CHOOSE(IF($B$1=2,2,1),'GAAP-IFRS'!M66,IF('Broker Actual'!M66="-",'GAAP-IFRS'!M66,'Broker Actual'!M66))</f>
        <v>0</v>
      </c>
      <c r="K230" s="140">
        <f>CHOOSE(IF($B$1=2,2,1),'GAAP-IFRS'!N66,IF('Broker Actual'!N66="-",'GAAP-IFRS'!N66,'Broker Actual'!N66))</f>
        <v>0</v>
      </c>
      <c r="L230" s="140">
        <f>CHOOSE(IF($B$1=2,2,1),'GAAP-IFRS'!O66,IF('Broker Actual'!O66="-",'GAAP-IFRS'!O66,'Broker Actual'!O66))</f>
        <v>0</v>
      </c>
      <c r="M230" s="148">
        <v>0</v>
      </c>
      <c r="N230" s="148">
        <f t="shared" ref="N230:Q230" si="262">M230</f>
        <v>0</v>
      </c>
      <c r="O230" s="148">
        <f t="shared" si="262"/>
        <v>0</v>
      </c>
      <c r="P230" s="148">
        <f t="shared" si="262"/>
        <v>0</v>
      </c>
      <c r="Q230" s="148">
        <f t="shared" si="262"/>
        <v>0</v>
      </c>
      <c r="R230" s="124"/>
      <c r="S230" s="124"/>
      <c r="T230" s="124"/>
      <c r="U230" s="124"/>
      <c r="V230" s="124"/>
      <c r="W230" s="125"/>
      <c r="X230" s="126"/>
      <c r="Y230" s="126"/>
      <c r="Z230" s="124"/>
      <c r="AA230" s="124"/>
      <c r="AB230" s="124"/>
      <c r="AC230" s="124"/>
      <c r="AD230" s="124"/>
      <c r="AE230" s="127"/>
    </row>
    <row r="231" spans="1:31" outlineLevel="1" x14ac:dyDescent="0.3">
      <c r="A231" s="195" t="s">
        <v>176</v>
      </c>
      <c r="B231" s="140">
        <f>CHOOSE(IF($B$1=2,2,1),'GAAP-IFRS'!E67,IF('Broker Actual'!E67="-",'GAAP-IFRS'!E67,'Broker Actual'!E67))</f>
        <v>0</v>
      </c>
      <c r="C231" s="140">
        <f>CHOOSE(IF($B$1=2,2,1),'GAAP-IFRS'!F67,IF('Broker Actual'!F67="-",'GAAP-IFRS'!F67,'Broker Actual'!F67))</f>
        <v>0</v>
      </c>
      <c r="D231" s="140">
        <f>CHOOSE(IF($B$1=2,2,1),'GAAP-IFRS'!G67,IF('Broker Actual'!G67="-",'GAAP-IFRS'!G67,'Broker Actual'!G67))</f>
        <v>0</v>
      </c>
      <c r="E231" s="140">
        <f>CHOOSE(IF($B$1=2,2,1),'GAAP-IFRS'!H67,IF('Broker Actual'!H67="-",'GAAP-IFRS'!H67,'Broker Actual'!H67))</f>
        <v>0</v>
      </c>
      <c r="F231" s="140">
        <f>CHOOSE(IF($B$1=2,2,1),'GAAP-IFRS'!I67,IF('Broker Actual'!I67="-",'GAAP-IFRS'!I67,'Broker Actual'!I67))</f>
        <v>0</v>
      </c>
      <c r="G231" s="140">
        <f>CHOOSE(IF($B$1=2,2,1),'GAAP-IFRS'!J67,IF('Broker Actual'!J67="-",'GAAP-IFRS'!J67,'Broker Actual'!J67))</f>
        <v>0</v>
      </c>
      <c r="H231" s="140">
        <f>CHOOSE(IF($B$1=2,2,1),'GAAP-IFRS'!K67,IF('Broker Actual'!K67="-",'GAAP-IFRS'!K67,'Broker Actual'!K67))</f>
        <v>0</v>
      </c>
      <c r="I231" s="140">
        <f>CHOOSE(IF($B$1=2,2,1),'GAAP-IFRS'!L67,IF('Broker Actual'!L67="-",'GAAP-IFRS'!L67,'Broker Actual'!L67))</f>
        <v>0</v>
      </c>
      <c r="J231" s="140">
        <f>CHOOSE(IF($B$1=2,2,1),'GAAP-IFRS'!M67,IF('Broker Actual'!M67="-",'GAAP-IFRS'!M67,'Broker Actual'!M67))</f>
        <v>44</v>
      </c>
      <c r="K231" s="140">
        <f>CHOOSE(IF($B$1=2,2,1),'GAAP-IFRS'!N67,IF('Broker Actual'!N67="-",'GAAP-IFRS'!N67,'Broker Actual'!N67))</f>
        <v>0</v>
      </c>
      <c r="L231" s="140">
        <f>CHOOSE(IF($B$1=2,2,1),'GAAP-IFRS'!O67,IF('Broker Actual'!O67="-",'GAAP-IFRS'!O67,'Broker Actual'!O67))</f>
        <v>14.5</v>
      </c>
      <c r="M231" s="148">
        <f>AVERAGE(H231:L231)</f>
        <v>11.7</v>
      </c>
      <c r="N231" s="148">
        <f t="shared" ref="N231:Q231" si="263">M231</f>
        <v>11.7</v>
      </c>
      <c r="O231" s="148">
        <f t="shared" si="263"/>
        <v>11.7</v>
      </c>
      <c r="P231" s="148">
        <f t="shared" si="263"/>
        <v>11.7</v>
      </c>
      <c r="Q231" s="148">
        <f t="shared" si="263"/>
        <v>11.7</v>
      </c>
      <c r="R231" s="124"/>
      <c r="S231" s="124"/>
      <c r="T231" s="124"/>
      <c r="U231" s="124"/>
      <c r="V231" s="124"/>
      <c r="W231" s="125"/>
      <c r="X231" s="126"/>
      <c r="Y231" s="126"/>
      <c r="Z231" s="124"/>
      <c r="AA231" s="124"/>
      <c r="AB231" s="124"/>
      <c r="AC231" s="124"/>
      <c r="AD231" s="124"/>
      <c r="AE231" s="127"/>
    </row>
    <row r="232" spans="1:31" s="118" customFormat="1" outlineLevel="1" x14ac:dyDescent="0.3">
      <c r="A232" s="42" t="s">
        <v>177</v>
      </c>
      <c r="B232" s="155">
        <f>CHOOSE(IF($B$1=2,2,1),'GAAP-IFRS'!E68,IF('Broker Actual'!E68="-",'GAAP-IFRS'!E68,'Broker Actual'!E68))</f>
        <v>-1.2110000000000001</v>
      </c>
      <c r="C232" s="155">
        <f>CHOOSE(IF($B$1=2,2,1),'GAAP-IFRS'!F68,IF('Broker Actual'!F68="-",'GAAP-IFRS'!F68,'Broker Actual'!F68))</f>
        <v>-90.04</v>
      </c>
      <c r="D232" s="155">
        <f>CHOOSE(IF($B$1=2,2,1),'GAAP-IFRS'!G68,IF('Broker Actual'!G68="-",'GAAP-IFRS'!G68,'Broker Actual'!G68))</f>
        <v>-18.652000000000001</v>
      </c>
      <c r="E232" s="155">
        <f>CHOOSE(IF($B$1=2,2,1),'GAAP-IFRS'!H68,IF('Broker Actual'!H68="-",'GAAP-IFRS'!H68,'Broker Actual'!H68))</f>
        <v>-80.373999999999995</v>
      </c>
      <c r="F232" s="155">
        <f>CHOOSE(IF($B$1=2,2,1),'GAAP-IFRS'!I68,IF('Broker Actual'!I68="-",'GAAP-IFRS'!I68,'Broker Actual'!I68))</f>
        <v>-51.091999999999999</v>
      </c>
      <c r="G232" s="155">
        <f>CHOOSE(IF($B$1=2,2,1),'GAAP-IFRS'!J68,IF('Broker Actual'!J68="-",'GAAP-IFRS'!J68,'Broker Actual'!J68))</f>
        <v>-92.338999999999999</v>
      </c>
      <c r="H232" s="155">
        <f>CHOOSE(IF($B$1=2,2,1),'GAAP-IFRS'!K68,IF('Broker Actual'!K68="-",'GAAP-IFRS'!K68,'Broker Actual'!K68))</f>
        <v>-19.07</v>
      </c>
      <c r="I232" s="155">
        <f>CHOOSE(IF($B$1=2,2,1),'GAAP-IFRS'!L68,IF('Broker Actual'!L68="-",'GAAP-IFRS'!L68,'Broker Actual'!L68))</f>
        <v>48.338000000000001</v>
      </c>
      <c r="J232" s="155">
        <f>CHOOSE(IF($B$1=2,2,1),'GAAP-IFRS'!M68,IF('Broker Actual'!M68="-",'GAAP-IFRS'!M68,'Broker Actual'!M68))</f>
        <v>141.12899999999999</v>
      </c>
      <c r="K232" s="155">
        <f>CHOOSE(IF($B$1=2,2,1),'GAAP-IFRS'!N68,IF('Broker Actual'!N68="-",'GAAP-IFRS'!N68,'Broker Actual'!N68))</f>
        <v>125.255</v>
      </c>
      <c r="L232" s="155">
        <f>CHOOSE(IF($B$1=2,2,1),'GAAP-IFRS'!O68,IF('Broker Actual'!O68="-",'GAAP-IFRS'!O68,'Broker Actual'!O68))</f>
        <v>-440.654</v>
      </c>
      <c r="M232" s="156">
        <f>SUM(M222,M224,M225,M227,M228,M230,M231)</f>
        <v>-50.452857241840846</v>
      </c>
      <c r="N232" s="156">
        <f t="shared" ref="N232:Q232" si="264">SUM(N222,N224,N225,N227,N228,N230,N231)</f>
        <v>-52.783474646154062</v>
      </c>
      <c r="O232" s="156">
        <f t="shared" si="264"/>
        <v>-52.823550475273933</v>
      </c>
      <c r="P232" s="156">
        <f t="shared" si="264"/>
        <v>-53.663848423187133</v>
      </c>
      <c r="Q232" s="156">
        <f t="shared" si="264"/>
        <v>-54.755936044193177</v>
      </c>
      <c r="R232" s="157"/>
      <c r="S232" s="157"/>
      <c r="T232" s="157"/>
      <c r="U232" s="157"/>
      <c r="V232" s="157"/>
      <c r="W232" s="158"/>
      <c r="X232" s="159" t="s">
        <v>91</v>
      </c>
      <c r="Y232" s="159" t="s">
        <v>178</v>
      </c>
      <c r="Z232" s="157" t="str" cm="1">
        <f t="array" ref="Z232">_xll.FDSC("--",$A$1,""&amp;$X232&amp;"("&amp;$Y232&amp;","&amp;D$2&amp;",ANNUAL_ROLL,+1,0,,,'CURRENCY="&amp;$E$1&amp;"')")</f>
        <v>--</v>
      </c>
      <c r="AA232" s="157" t="str" cm="1">
        <f t="array" ref="AA232">_xll.FDSC("--",$A$1,""&amp;$X232&amp;"("&amp;$Y232&amp;","&amp;D$2&amp;",ANNUAL_ROLL,+2,0,,,'CURRENCY="&amp;$E$1&amp;"')")</f>
        <v>--</v>
      </c>
      <c r="AB232" s="157" t="str" cm="1">
        <f t="array" ref="AB232">_xll.FDSC("--",$A$1,""&amp;$X232&amp;"("&amp;$Y232&amp;","&amp;D$2&amp;",ANNUAL_ROLL,+3,0,,,'CURRENCY="&amp;$E$1&amp;"')")</f>
        <v>--</v>
      </c>
      <c r="AC232" s="157"/>
      <c r="AD232" s="157" cm="1">
        <f t="array" ref="AD232">_xll.FDSC("--",$A$1,"FF_INVEST_CF(LTM_R,0,,,,"&amp;$E$1&amp;")@FF_INVEST_CF(LTM_SEMI_R,0,,,,"&amp;$E$1&amp;")")</f>
        <v>-21.123000000000001</v>
      </c>
      <c r="AE232" s="160"/>
    </row>
    <row r="233" spans="1:31" outlineLevel="1" x14ac:dyDescent="0.3">
      <c r="A233" s="129" t="s">
        <v>137</v>
      </c>
      <c r="B233" s="130">
        <f>B232/B57</f>
        <v>-5.1839200023971891E-3</v>
      </c>
      <c r="C233" s="130">
        <f t="shared" ref="C233:Q233" si="265">C232/C$57</f>
        <v>-0.37347358640828249</v>
      </c>
      <c r="D233" s="130">
        <f t="shared" si="265"/>
        <v>-7.0091842409848643E-2</v>
      </c>
      <c r="E233" s="130">
        <f t="shared" si="265"/>
        <v>-0.28107514547896151</v>
      </c>
      <c r="F233" s="130">
        <f t="shared" si="265"/>
        <v>-0.19320390552324479</v>
      </c>
      <c r="G233" s="130">
        <f t="shared" si="265"/>
        <v>-0.37780987373468733</v>
      </c>
      <c r="H233" s="130">
        <f t="shared" si="265"/>
        <v>-8.2449890182107466E-2</v>
      </c>
      <c r="I233" s="130">
        <f t="shared" si="265"/>
        <v>0.19935333272845748</v>
      </c>
      <c r="J233" s="130">
        <f t="shared" si="265"/>
        <v>0.45461397964804451</v>
      </c>
      <c r="K233" s="130">
        <f t="shared" si="265"/>
        <v>0.30706152016964317</v>
      </c>
      <c r="L233" s="130">
        <f t="shared" si="265"/>
        <v>-0.8820789369909301</v>
      </c>
      <c r="M233" s="130">
        <f t="shared" si="265"/>
        <v>-9.1413825046610345E-2</v>
      </c>
      <c r="N233" s="130">
        <f t="shared" si="265"/>
        <v>-7.4020224043577498E-2</v>
      </c>
      <c r="O233" s="130">
        <f t="shared" si="265"/>
        <v>-7.3789632869804098E-2</v>
      </c>
      <c r="P233" s="130">
        <f t="shared" si="265"/>
        <v>-6.9335001584783826E-2</v>
      </c>
      <c r="Q233" s="130">
        <f t="shared" si="265"/>
        <v>-6.4456319914774782E-2</v>
      </c>
      <c r="R233" s="124"/>
      <c r="S233" s="124"/>
      <c r="T233" s="124"/>
      <c r="U233" s="124"/>
      <c r="V233" s="124"/>
      <c r="W233" s="125"/>
      <c r="X233" s="126"/>
      <c r="Y233" s="126"/>
      <c r="Z233" s="124"/>
      <c r="AA233" s="124"/>
      <c r="AB233" s="124"/>
      <c r="AC233" s="124"/>
      <c r="AD233" s="124"/>
      <c r="AE233" s="127"/>
    </row>
    <row r="234" spans="1:31" outlineLevel="1" x14ac:dyDescent="0.3">
      <c r="B234" s="140"/>
      <c r="C234" s="140"/>
      <c r="D234" s="140"/>
      <c r="E234" s="140"/>
      <c r="F234" s="140"/>
      <c r="G234" s="140"/>
      <c r="H234" s="140"/>
      <c r="I234" s="140"/>
      <c r="J234" s="140"/>
      <c r="K234" s="140"/>
      <c r="L234" s="140"/>
      <c r="M234" s="124"/>
      <c r="N234" s="124"/>
      <c r="O234" s="124"/>
      <c r="P234" s="124"/>
      <c r="Q234" s="124"/>
      <c r="R234" s="124"/>
      <c r="S234" s="124"/>
      <c r="T234" s="124"/>
      <c r="U234" s="124"/>
      <c r="V234" s="124"/>
      <c r="W234" s="190"/>
      <c r="X234" s="126"/>
      <c r="Y234" s="126"/>
      <c r="Z234" s="124"/>
      <c r="AA234" s="124"/>
      <c r="AB234" s="124"/>
      <c r="AC234" s="124"/>
      <c r="AD234" s="124"/>
      <c r="AE234" s="127"/>
    </row>
    <row r="235" spans="1:31" outlineLevel="1" x14ac:dyDescent="0.3">
      <c r="A235" s="79" t="s">
        <v>179</v>
      </c>
      <c r="B235" s="141">
        <f t="shared" ref="B235:Q235" si="266">B219+B232</f>
        <v>105.05500000000001</v>
      </c>
      <c r="C235" s="141">
        <f t="shared" si="266"/>
        <v>-34.568000000000005</v>
      </c>
      <c r="D235" s="141">
        <f t="shared" si="266"/>
        <v>70.762</v>
      </c>
      <c r="E235" s="141">
        <f t="shared" si="266"/>
        <v>-34.344999999999992</v>
      </c>
      <c r="F235" s="141">
        <f t="shared" si="266"/>
        <v>37.629999999999995</v>
      </c>
      <c r="G235" s="141">
        <f t="shared" si="266"/>
        <v>-62.664999999999999</v>
      </c>
      <c r="H235" s="141">
        <f t="shared" si="266"/>
        <v>11.344999999999999</v>
      </c>
      <c r="I235" s="141">
        <f t="shared" si="266"/>
        <v>104.812</v>
      </c>
      <c r="J235" s="141">
        <f t="shared" si="266"/>
        <v>220.83199999999999</v>
      </c>
      <c r="K235" s="141">
        <f t="shared" si="266"/>
        <v>227.34399999999999</v>
      </c>
      <c r="L235" s="141">
        <f t="shared" si="266"/>
        <v>-434.87899999999996</v>
      </c>
      <c r="M235" s="141">
        <f>M219+M232</f>
        <v>37.349642618724474</v>
      </c>
      <c r="N235" s="141">
        <f t="shared" si="266"/>
        <v>56.079514240675337</v>
      </c>
      <c r="O235" s="141">
        <f t="shared" si="266"/>
        <v>57.407673929496056</v>
      </c>
      <c r="P235" s="141">
        <f t="shared" si="266"/>
        <v>83.378697793395062</v>
      </c>
      <c r="Q235" s="141">
        <f t="shared" si="266"/>
        <v>95.970454893379056</v>
      </c>
      <c r="R235" s="124"/>
      <c r="S235" s="124"/>
      <c r="T235" s="124"/>
      <c r="U235" s="124"/>
      <c r="V235" s="124"/>
      <c r="W235" s="125"/>
      <c r="X235" s="126"/>
      <c r="Y235" s="126"/>
      <c r="Z235" s="124"/>
      <c r="AA235" s="124"/>
      <c r="AB235" s="124"/>
      <c r="AC235" s="124"/>
      <c r="AD235" s="124"/>
      <c r="AE235" s="127"/>
    </row>
    <row r="236" spans="1:31" outlineLevel="1" x14ac:dyDescent="0.3">
      <c r="A236" s="79" t="s">
        <v>180</v>
      </c>
      <c r="B236" s="141">
        <f t="shared" ref="B236:Q236" si="267">B235+B241</f>
        <v>96.494</v>
      </c>
      <c r="C236" s="141">
        <f t="shared" si="267"/>
        <v>-45.470000000000006</v>
      </c>
      <c r="D236" s="141">
        <f t="shared" si="267"/>
        <v>58.406999999999996</v>
      </c>
      <c r="E236" s="141">
        <f t="shared" si="267"/>
        <v>-46.772999999999996</v>
      </c>
      <c r="F236" s="141">
        <f t="shared" si="267"/>
        <v>25.191999999999993</v>
      </c>
      <c r="G236" s="141">
        <f t="shared" si="267"/>
        <v>-76.570999999999998</v>
      </c>
      <c r="H236" s="141">
        <f t="shared" si="267"/>
        <v>2.6999999999999247E-2</v>
      </c>
      <c r="I236" s="141">
        <f t="shared" si="267"/>
        <v>91.8</v>
      </c>
      <c r="J236" s="141">
        <f t="shared" si="267"/>
        <v>208.13800000000001</v>
      </c>
      <c r="K236" s="141">
        <f t="shared" si="267"/>
        <v>213.279</v>
      </c>
      <c r="L236" s="141">
        <f t="shared" si="267"/>
        <v>-450.11199999999997</v>
      </c>
      <c r="M236" s="141">
        <f>M235+M241</f>
        <v>21.257424379364483</v>
      </c>
      <c r="N236" s="141">
        <f t="shared" si="267"/>
        <v>41.27847393224144</v>
      </c>
      <c r="O236" s="141">
        <f t="shared" si="267"/>
        <v>42.171056528731135</v>
      </c>
      <c r="P236" s="141">
        <f t="shared" si="267"/>
        <v>59.76000257691787</v>
      </c>
      <c r="Q236" s="141">
        <f t="shared" si="267"/>
        <v>69.922572482090175</v>
      </c>
      <c r="R236" s="124"/>
      <c r="S236" s="124"/>
      <c r="T236" s="124"/>
      <c r="U236" s="124"/>
      <c r="V236" s="124"/>
      <c r="W236" s="125"/>
      <c r="X236" s="126"/>
      <c r="Y236" s="126"/>
      <c r="Z236" s="124"/>
      <c r="AA236" s="124"/>
      <c r="AB236" s="124"/>
      <c r="AC236" s="124"/>
      <c r="AD236" s="124"/>
      <c r="AE236" s="127"/>
    </row>
    <row r="237" spans="1:31" outlineLevel="1" x14ac:dyDescent="0.3">
      <c r="A237" s="79" t="s">
        <v>181</v>
      </c>
      <c r="B237" s="124"/>
      <c r="C237" s="124"/>
      <c r="D237" s="124"/>
      <c r="E237" s="124"/>
      <c r="F237" s="124"/>
      <c r="G237" s="124"/>
      <c r="H237" s="124"/>
      <c r="I237" s="124"/>
      <c r="J237" s="124"/>
      <c r="K237" s="124"/>
      <c r="L237" s="124"/>
      <c r="M237" s="232">
        <v>0.9</v>
      </c>
      <c r="N237" s="232">
        <f>M237</f>
        <v>0.9</v>
      </c>
      <c r="O237" s="232">
        <f t="shared" ref="O237:Q237" si="268">N237</f>
        <v>0.9</v>
      </c>
      <c r="P237" s="232">
        <f t="shared" si="268"/>
        <v>0.9</v>
      </c>
      <c r="Q237" s="232">
        <f t="shared" si="268"/>
        <v>0.9</v>
      </c>
      <c r="R237" s="124"/>
      <c r="S237" s="124"/>
      <c r="T237" s="124"/>
      <c r="U237" s="124"/>
      <c r="V237" s="124"/>
      <c r="W237" s="125"/>
      <c r="X237" s="126"/>
      <c r="Y237" s="126"/>
      <c r="Z237" s="124"/>
      <c r="AA237" s="124"/>
      <c r="AB237" s="124"/>
      <c r="AC237" s="124"/>
      <c r="AD237" s="124"/>
      <c r="AE237" s="127"/>
    </row>
    <row r="238" spans="1:31" outlineLevel="1" x14ac:dyDescent="0.3">
      <c r="A238" s="79" t="s">
        <v>182</v>
      </c>
      <c r="B238" s="124"/>
      <c r="C238" s="124"/>
      <c r="D238" s="124"/>
      <c r="E238" s="124"/>
      <c r="F238" s="124"/>
      <c r="G238" s="124"/>
      <c r="H238" s="124"/>
      <c r="I238" s="124"/>
      <c r="J238" s="124"/>
      <c r="K238" s="124"/>
      <c r="L238" s="124"/>
      <c r="M238" s="191">
        <f>1-M237</f>
        <v>9.9999999999999978E-2</v>
      </c>
      <c r="N238" s="191">
        <f t="shared" ref="N238:Q238" si="269">1-N237</f>
        <v>9.9999999999999978E-2</v>
      </c>
      <c r="O238" s="191">
        <f t="shared" si="269"/>
        <v>9.9999999999999978E-2</v>
      </c>
      <c r="P238" s="191">
        <f t="shared" si="269"/>
        <v>9.9999999999999978E-2</v>
      </c>
      <c r="Q238" s="191">
        <f t="shared" si="269"/>
        <v>9.9999999999999978E-2</v>
      </c>
      <c r="R238" s="124"/>
      <c r="S238" s="124"/>
      <c r="T238" s="124"/>
      <c r="U238" s="124"/>
      <c r="V238" s="124"/>
      <c r="W238" s="125"/>
      <c r="X238" s="126"/>
      <c r="Y238" s="126"/>
      <c r="Z238" s="124"/>
      <c r="AA238" s="124"/>
      <c r="AB238" s="124"/>
      <c r="AC238" s="124"/>
      <c r="AD238" s="124"/>
      <c r="AE238" s="127"/>
    </row>
    <row r="239" spans="1:31" outlineLevel="1" x14ac:dyDescent="0.3">
      <c r="B239" s="124"/>
      <c r="C239" s="124"/>
      <c r="D239" s="124"/>
      <c r="E239" s="124"/>
      <c r="F239" s="124"/>
      <c r="G239" s="124"/>
      <c r="H239" s="124"/>
      <c r="I239" s="124"/>
      <c r="J239" s="124"/>
      <c r="K239" s="124"/>
      <c r="L239" s="124"/>
      <c r="M239" s="124"/>
      <c r="N239" s="124"/>
      <c r="O239" s="124"/>
      <c r="P239" s="124"/>
      <c r="Q239" s="124"/>
      <c r="R239" s="124"/>
      <c r="S239" s="124"/>
      <c r="T239" s="124"/>
      <c r="U239" s="124"/>
      <c r="V239" s="124"/>
      <c r="W239" s="125"/>
      <c r="X239" s="126"/>
      <c r="Y239" s="126"/>
      <c r="Z239" s="124"/>
      <c r="AA239" s="124"/>
      <c r="AB239" s="124"/>
      <c r="AC239" s="124"/>
      <c r="AD239" s="124"/>
      <c r="AE239" s="127"/>
    </row>
    <row r="240" spans="1:31" outlineLevel="1" x14ac:dyDescent="0.3">
      <c r="A240" s="118" t="s">
        <v>183</v>
      </c>
      <c r="B240" s="124"/>
      <c r="C240" s="124"/>
      <c r="D240" s="124"/>
      <c r="E240" s="124"/>
      <c r="F240" s="124"/>
      <c r="G240" s="124"/>
      <c r="H240" s="124"/>
      <c r="I240" s="124"/>
      <c r="J240" s="124"/>
      <c r="K240" s="124"/>
      <c r="L240" s="124"/>
      <c r="M240" s="124"/>
      <c r="N240" s="124"/>
      <c r="O240" s="124"/>
      <c r="P240" s="124"/>
      <c r="Q240" s="124"/>
      <c r="R240" s="124"/>
      <c r="S240" s="124"/>
      <c r="T240" s="124"/>
      <c r="U240" s="124"/>
      <c r="V240" s="124"/>
      <c r="W240" s="190"/>
      <c r="X240" s="126"/>
      <c r="Y240" s="126"/>
      <c r="Z240" s="124"/>
      <c r="AA240" s="124"/>
      <c r="AB240" s="124"/>
      <c r="AC240" s="124"/>
      <c r="AD240" s="124"/>
      <c r="AE240" s="127"/>
    </row>
    <row r="241" spans="1:31" outlineLevel="1" x14ac:dyDescent="0.3">
      <c r="A241" s="79" t="s">
        <v>184</v>
      </c>
      <c r="B241" s="140">
        <f>CHOOSE(IF($B$1=2,2,1),'GAAP-IFRS'!E71,IF('Broker Actual'!E71="-",'GAAP-IFRS'!E71,'Broker Actual'!E71))</f>
        <v>-8.5609999999999999</v>
      </c>
      <c r="C241" s="140">
        <f>CHOOSE(IF($B$1=2,2,1),'GAAP-IFRS'!F71,IF('Broker Actual'!F71="-",'GAAP-IFRS'!F71,'Broker Actual'!F71))</f>
        <v>-10.901999999999999</v>
      </c>
      <c r="D241" s="140">
        <f>CHOOSE(IF($B$1=2,2,1),'GAAP-IFRS'!G71,IF('Broker Actual'!G71="-",'GAAP-IFRS'!G71,'Broker Actual'!G71))</f>
        <v>-12.355</v>
      </c>
      <c r="E241" s="140">
        <f>CHOOSE(IF($B$1=2,2,1),'GAAP-IFRS'!H71,IF('Broker Actual'!H71="-",'GAAP-IFRS'!H71,'Broker Actual'!H71))</f>
        <v>-12.428000000000001</v>
      </c>
      <c r="F241" s="140">
        <f>CHOOSE(IF($B$1=2,2,1),'GAAP-IFRS'!I71,IF('Broker Actual'!I71="-",'GAAP-IFRS'!I71,'Broker Actual'!I71))</f>
        <v>-12.438000000000001</v>
      </c>
      <c r="G241" s="140">
        <f>CHOOSE(IF($B$1=2,2,1),'GAAP-IFRS'!J71,IF('Broker Actual'!J71="-",'GAAP-IFRS'!J71,'Broker Actual'!J71))</f>
        <v>-13.906000000000001</v>
      </c>
      <c r="H241" s="140">
        <f>CHOOSE(IF($B$1=2,2,1),'GAAP-IFRS'!K71,IF('Broker Actual'!K71="-",'GAAP-IFRS'!K71,'Broker Actual'!K71))</f>
        <v>-11.318</v>
      </c>
      <c r="I241" s="140">
        <f>CHOOSE(IF($B$1=2,2,1),'GAAP-IFRS'!L71,IF('Broker Actual'!L71="-",'GAAP-IFRS'!L71,'Broker Actual'!L71))</f>
        <v>-13.012</v>
      </c>
      <c r="J241" s="140">
        <f>CHOOSE(IF($B$1=2,2,1),'GAAP-IFRS'!M71,IF('Broker Actual'!M71="-",'GAAP-IFRS'!M71,'Broker Actual'!M71))</f>
        <v>-12.694000000000001</v>
      </c>
      <c r="K241" s="140">
        <f>CHOOSE(IF($B$1=2,2,1),'GAAP-IFRS'!N71,IF('Broker Actual'!N71="-",'GAAP-IFRS'!N71,'Broker Actual'!N71))</f>
        <v>-14.065</v>
      </c>
      <c r="L241" s="140">
        <f>CHOOSE(IF($B$1=2,2,1),'GAAP-IFRS'!O71,IF('Broker Actual'!O71="-",'GAAP-IFRS'!O71,'Broker Actual'!O71))</f>
        <v>-15.233000000000001</v>
      </c>
      <c r="M241" s="141">
        <f>M242*M128</f>
        <v>-16.09221823935999</v>
      </c>
      <c r="N241" s="141">
        <f>N242*N128</f>
        <v>-14.801040308433898</v>
      </c>
      <c r="O241" s="141">
        <f>O242*O128</f>
        <v>-15.236617400764922</v>
      </c>
      <c r="P241" s="141">
        <f>P242*P128</f>
        <v>-23.618695216477189</v>
      </c>
      <c r="Q241" s="141">
        <f>Q242*Q128</f>
        <v>-26.047882411288885</v>
      </c>
      <c r="R241" s="124"/>
      <c r="S241" s="124"/>
      <c r="T241" s="124"/>
      <c r="U241" s="124"/>
      <c r="V241" s="124"/>
      <c r="W241" s="125"/>
      <c r="X241" s="126"/>
      <c r="Y241" s="126"/>
      <c r="Z241" s="124"/>
      <c r="AA241" s="124"/>
      <c r="AB241" s="124"/>
      <c r="AC241" s="124"/>
      <c r="AD241" s="124" cm="1">
        <f t="array" ref="AD241">_xll.FDSC("--",$A$1,"FF_DIV_COM_CF(LTM_R,0,,,,"&amp;$E$1&amp;")@FF_DIV_COM_CF(LTM_SEMI_R,0,,,,"&amp;$E$1&amp;")")</f>
        <v>13.933999999999999</v>
      </c>
      <c r="AE241" s="127"/>
    </row>
    <row r="242" spans="1:31" outlineLevel="1" x14ac:dyDescent="0.3">
      <c r="A242" s="79" t="s">
        <v>185</v>
      </c>
      <c r="B242" s="130">
        <f t="shared" ref="B242:L242" si="270">B241/B128</f>
        <v>-0.28694486341545167</v>
      </c>
      <c r="C242" s="130">
        <f t="shared" si="270"/>
        <v>-0.16654954321855234</v>
      </c>
      <c r="D242" s="130">
        <f t="shared" si="270"/>
        <v>-0.1971626452189455</v>
      </c>
      <c r="E242" s="130">
        <f t="shared" si="270"/>
        <v>-0.18870044487633045</v>
      </c>
      <c r="F242" s="130">
        <f t="shared" si="270"/>
        <v>-0.42858619620274974</v>
      </c>
      <c r="G242" s="130">
        <f t="shared" si="270"/>
        <v>2.0174089656172929</v>
      </c>
      <c r="H242" s="130">
        <f t="shared" si="270"/>
        <v>-0.63853314527503524</v>
      </c>
      <c r="I242" s="130">
        <f t="shared" si="270"/>
        <v>-0.48961468994581581</v>
      </c>
      <c r="J242" s="130">
        <f t="shared" si="270"/>
        <v>-0.46026105873821616</v>
      </c>
      <c r="K242" s="130">
        <f t="shared" si="270"/>
        <v>-1.9421430544048606</v>
      </c>
      <c r="L242" s="130">
        <f t="shared" si="270"/>
        <v>0.27897734556709336</v>
      </c>
      <c r="M242" s="189">
        <v>-0.5</v>
      </c>
      <c r="N242" s="189">
        <v>-0.4</v>
      </c>
      <c r="O242" s="189">
        <v>-0.4</v>
      </c>
      <c r="P242" s="189">
        <f t="shared" ref="P242:Q242" si="271">O242</f>
        <v>-0.4</v>
      </c>
      <c r="Q242" s="189">
        <f t="shared" si="271"/>
        <v>-0.4</v>
      </c>
      <c r="R242" s="124"/>
      <c r="S242" s="124"/>
      <c r="T242" s="124"/>
      <c r="U242" s="124"/>
      <c r="V242" s="124"/>
      <c r="W242" s="125"/>
      <c r="X242" s="126"/>
      <c r="Y242" s="126"/>
      <c r="Z242" s="124"/>
      <c r="AA242" s="124"/>
      <c r="AB242" s="124"/>
      <c r="AC242" s="124"/>
      <c r="AD242" s="124"/>
      <c r="AE242" s="127"/>
    </row>
    <row r="243" spans="1:31" outlineLevel="1" x14ac:dyDescent="0.3">
      <c r="A243" s="79" t="s">
        <v>186</v>
      </c>
      <c r="B243" s="140">
        <f>CHOOSE(IF($B$1=2,2,1),'GAAP-IFRS'!E72,IF('Broker Actual'!E72="-",'GAAP-IFRS'!E72,'Broker Actual'!E72))</f>
        <v>0</v>
      </c>
      <c r="C243" s="140">
        <f>CHOOSE(IF($B$1=2,2,1),'GAAP-IFRS'!F72,IF('Broker Actual'!F72="-",'GAAP-IFRS'!F72,'Broker Actual'!F72))</f>
        <v>138.47999999999999</v>
      </c>
      <c r="D243" s="140">
        <f>CHOOSE(IF($B$1=2,2,1),'GAAP-IFRS'!G72,IF('Broker Actual'!G72="-",'GAAP-IFRS'!G72,'Broker Actual'!G72))</f>
        <v>0</v>
      </c>
      <c r="E243" s="140">
        <f>CHOOSE(IF($B$1=2,2,1),'GAAP-IFRS'!H72,IF('Broker Actual'!H72="-",'GAAP-IFRS'!H72,'Broker Actual'!H72))</f>
        <v>0</v>
      </c>
      <c r="F243" s="140">
        <f>CHOOSE(IF($B$1=2,2,1),'GAAP-IFRS'!I72,IF('Broker Actual'!I72="-",'GAAP-IFRS'!I72,'Broker Actual'!I72))</f>
        <v>7.2969999999999997</v>
      </c>
      <c r="G243" s="140">
        <f>CHOOSE(IF($B$1=2,2,1),'GAAP-IFRS'!J72,IF('Broker Actual'!J72="-",'GAAP-IFRS'!J72,'Broker Actual'!J72))</f>
        <v>97.66</v>
      </c>
      <c r="H243" s="140">
        <f>CHOOSE(IF($B$1=2,2,1),'GAAP-IFRS'!K72,IF('Broker Actual'!K72="-",'GAAP-IFRS'!K72,'Broker Actual'!K72))</f>
        <v>4.7679999999999998</v>
      </c>
      <c r="I243" s="140">
        <f>CHOOSE(IF($B$1=2,2,1),'GAAP-IFRS'!L72,IF('Broker Actual'!L72="-",'GAAP-IFRS'!L72,'Broker Actual'!L72))</f>
        <v>-82.027000000000001</v>
      </c>
      <c r="J243" s="140">
        <f>CHOOSE(IF($B$1=2,2,1),'GAAP-IFRS'!M72,IF('Broker Actual'!M72="-",'GAAP-IFRS'!M72,'Broker Actual'!M72))</f>
        <v>2.3279999999999998</v>
      </c>
      <c r="K243" s="140">
        <f>CHOOSE(IF($B$1=2,2,1),'GAAP-IFRS'!N72,IF('Broker Actual'!N72="-",'GAAP-IFRS'!N72,'Broker Actual'!N72))</f>
        <v>-9.7200000000000006</v>
      </c>
      <c r="L243" s="140">
        <f>CHOOSE(IF($B$1=2,2,1),'GAAP-IFRS'!O72,IF('Broker Actual'!O72="-",'GAAP-IFRS'!O72,'Broker Actual'!O72))</f>
        <v>150.44999999999999</v>
      </c>
      <c r="M243" s="141">
        <f>-M236*M237</f>
        <v>-19.131681941428035</v>
      </c>
      <c r="N243" s="141">
        <f>-N236*N237</f>
        <v>-37.150626539017296</v>
      </c>
      <c r="O243" s="141">
        <f>-O236*O237</f>
        <v>-37.95395087585802</v>
      </c>
      <c r="P243" s="141">
        <f>-P236*P237</f>
        <v>-53.784002319226083</v>
      </c>
      <c r="Q243" s="141">
        <f>-Q236*Q237</f>
        <v>-62.93031523388116</v>
      </c>
      <c r="R243" s="124"/>
      <c r="S243" s="124"/>
      <c r="T243" s="124"/>
      <c r="U243" s="124"/>
      <c r="V243" s="124"/>
      <c r="W243" s="125"/>
      <c r="X243" s="126"/>
      <c r="Y243" s="126"/>
      <c r="Z243" s="124"/>
      <c r="AA243" s="124"/>
      <c r="AB243" s="124"/>
      <c r="AC243" s="124"/>
      <c r="AD243" s="124"/>
      <c r="AE243" s="127"/>
    </row>
    <row r="244" spans="1:31" outlineLevel="1" x14ac:dyDescent="0.3">
      <c r="A244" s="79" t="s">
        <v>187</v>
      </c>
      <c r="B244" s="140">
        <f>CHOOSE(IF($B$1=2,2,1),'GAAP-IFRS'!E73,IF('Broker Actual'!E73="-",'GAAP-IFRS'!E73,'Broker Actual'!E73))</f>
        <v>32.234000000000002</v>
      </c>
      <c r="C244" s="140">
        <f>CHOOSE(IF($B$1=2,2,1),'GAAP-IFRS'!F73,IF('Broker Actual'!F73="-",'GAAP-IFRS'!F73,'Broker Actual'!F73))</f>
        <v>-30.885999999999999</v>
      </c>
      <c r="D244" s="140">
        <f>CHOOSE(IF($B$1=2,2,1),'GAAP-IFRS'!G73,IF('Broker Actual'!G73="-",'GAAP-IFRS'!G73,'Broker Actual'!G73))</f>
        <v>-38.905999999999999</v>
      </c>
      <c r="E244" s="140">
        <f>CHOOSE(IF($B$1=2,2,1),'GAAP-IFRS'!H73,IF('Broker Actual'!H73="-",'GAAP-IFRS'!H73,'Broker Actual'!H73))</f>
        <v>-2.1389999999999998</v>
      </c>
      <c r="F244" s="140">
        <f>CHOOSE(IF($B$1=2,2,1),'GAAP-IFRS'!I73,IF('Broker Actual'!I73="-",'GAAP-IFRS'!I73,'Broker Actual'!I73))</f>
        <v>-20.34</v>
      </c>
      <c r="G244" s="140">
        <f>CHOOSE(IF($B$1=2,2,1),'GAAP-IFRS'!J73,IF('Broker Actual'!J73="-",'GAAP-IFRS'!J73,'Broker Actual'!J73))</f>
        <v>-45.796999999999997</v>
      </c>
      <c r="H244" s="140">
        <f>CHOOSE(IF($B$1=2,2,1),'GAAP-IFRS'!K73,IF('Broker Actual'!K73="-",'GAAP-IFRS'!K73,'Broker Actual'!K73))</f>
        <v>-21.166</v>
      </c>
      <c r="I244" s="140">
        <f>CHOOSE(IF($B$1=2,2,1),'GAAP-IFRS'!L73,IF('Broker Actual'!L73="-",'GAAP-IFRS'!L73,'Broker Actual'!L73))</f>
        <v>-19.991</v>
      </c>
      <c r="J244" s="140">
        <f>CHOOSE(IF($B$1=2,2,1),'GAAP-IFRS'!M73,IF('Broker Actual'!M73="-",'GAAP-IFRS'!M73,'Broker Actual'!M73))</f>
        <v>-6.6449999999999996</v>
      </c>
      <c r="K244" s="140">
        <f>CHOOSE(IF($B$1=2,2,1),'GAAP-IFRS'!N73,IF('Broker Actual'!N73="-",'GAAP-IFRS'!N73,'Broker Actual'!N73))</f>
        <v>-1.3140000000000001</v>
      </c>
      <c r="L244" s="140">
        <f>CHOOSE(IF($B$1=2,2,1),'GAAP-IFRS'!O73,IF('Broker Actual'!O73="-",'GAAP-IFRS'!O73,'Broker Actual'!O73))</f>
        <v>-88.311999999999998</v>
      </c>
      <c r="M244" s="141">
        <f>-M236*M238</f>
        <v>-2.1257424379364478</v>
      </c>
      <c r="N244" s="141">
        <f>-N236*N238</f>
        <v>-4.1278473932241431</v>
      </c>
      <c r="O244" s="141">
        <f>-O236*O238</f>
        <v>-4.217105652873113</v>
      </c>
      <c r="P244" s="141">
        <f>-P236*P238</f>
        <v>-5.9760002576917861</v>
      </c>
      <c r="Q244" s="141">
        <f>-Q236*Q238</f>
        <v>-6.9922572482090155</v>
      </c>
      <c r="R244" s="124"/>
      <c r="S244" s="124"/>
      <c r="T244" s="124"/>
      <c r="U244" s="124"/>
      <c r="V244" s="124"/>
      <c r="W244" s="125"/>
      <c r="X244" s="126"/>
      <c r="Y244" s="126"/>
      <c r="Z244" s="124"/>
      <c r="AA244" s="124"/>
      <c r="AB244" s="124"/>
      <c r="AC244" s="124"/>
      <c r="AD244" s="124"/>
      <c r="AE244" s="127"/>
    </row>
    <row r="245" spans="1:31" outlineLevel="1" x14ac:dyDescent="0.3">
      <c r="A245" s="79" t="s">
        <v>163</v>
      </c>
      <c r="B245" s="140">
        <f>CHOOSE(IF($B$1=2,2,1),'GAAP-IFRS'!E74,IF('Broker Actual'!E74="-",'GAAP-IFRS'!E74,'Broker Actual'!E74))</f>
        <v>1.161</v>
      </c>
      <c r="C245" s="140">
        <f>CHOOSE(IF($B$1=2,2,1),'GAAP-IFRS'!F74,IF('Broker Actual'!F74="-",'GAAP-IFRS'!F74,'Broker Actual'!F74))</f>
        <v>1.06</v>
      </c>
      <c r="D245" s="140">
        <f>CHOOSE(IF($B$1=2,2,1),'GAAP-IFRS'!G74,IF('Broker Actual'!G74="-",'GAAP-IFRS'!G74,'Broker Actual'!G74))</f>
        <v>2.08</v>
      </c>
      <c r="E245" s="140">
        <f>CHOOSE(IF($B$1=2,2,1),'GAAP-IFRS'!H74,IF('Broker Actual'!H74="-",'GAAP-IFRS'!H74,'Broker Actual'!H74))</f>
        <v>2.2949999999999999</v>
      </c>
      <c r="F245" s="140">
        <f>CHOOSE(IF($B$1=2,2,1),'GAAP-IFRS'!I74,IF('Broker Actual'!I74="-",'GAAP-IFRS'!I74,'Broker Actual'!I74))</f>
        <v>0.64100000000000001</v>
      </c>
      <c r="G245" s="140">
        <f>CHOOSE(IF($B$1=2,2,1),'GAAP-IFRS'!J74,IF('Broker Actual'!J74="-",'GAAP-IFRS'!J74,'Broker Actual'!J74))</f>
        <v>0</v>
      </c>
      <c r="H245" s="140">
        <f>CHOOSE(IF($B$1=2,2,1),'GAAP-IFRS'!K74,IF('Broker Actual'!K74="-",'GAAP-IFRS'!K74,'Broker Actual'!K74))</f>
        <v>0</v>
      </c>
      <c r="I245" s="140">
        <f>CHOOSE(IF($B$1=2,2,1),'GAAP-IFRS'!L74,IF('Broker Actual'!L74="-",'GAAP-IFRS'!L74,'Broker Actual'!L74))</f>
        <v>0</v>
      </c>
      <c r="J245" s="140">
        <f>CHOOSE(IF($B$1=2,2,1),'GAAP-IFRS'!M74,IF('Broker Actual'!M74="-",'GAAP-IFRS'!M74,'Broker Actual'!M74))</f>
        <v>0</v>
      </c>
      <c r="K245" s="140">
        <f>CHOOSE(IF($B$1=2,2,1),'GAAP-IFRS'!N74,IF('Broker Actual'!N74="-",'GAAP-IFRS'!N74,'Broker Actual'!N74))</f>
        <v>-2.5419999999999998</v>
      </c>
      <c r="L245" s="140">
        <f>CHOOSE(IF($B$1=2,2,1),'GAAP-IFRS'!O74,IF('Broker Actual'!O74="-",'GAAP-IFRS'!O74,'Broker Actual'!O74))</f>
        <v>-5.508</v>
      </c>
      <c r="M245" s="148">
        <f>AVERAGE(H245:L245)</f>
        <v>-1.61</v>
      </c>
      <c r="N245" s="148">
        <f t="shared" ref="N245:Q245" si="272">M245</f>
        <v>-1.61</v>
      </c>
      <c r="O245" s="148">
        <f t="shared" si="272"/>
        <v>-1.61</v>
      </c>
      <c r="P245" s="148">
        <f t="shared" si="272"/>
        <v>-1.61</v>
      </c>
      <c r="Q245" s="148">
        <f t="shared" si="272"/>
        <v>-1.61</v>
      </c>
      <c r="R245" s="124"/>
      <c r="S245" s="124"/>
      <c r="T245" s="124"/>
      <c r="U245" s="124"/>
      <c r="V245" s="124"/>
      <c r="W245" s="125"/>
      <c r="X245" s="126"/>
      <c r="Y245" s="126"/>
      <c r="Z245" s="124"/>
      <c r="AA245" s="124"/>
      <c r="AB245" s="124"/>
      <c r="AC245" s="124"/>
      <c r="AD245" s="124"/>
      <c r="AE245" s="127"/>
    </row>
    <row r="246" spans="1:31" s="118" customFormat="1" outlineLevel="1" x14ac:dyDescent="0.3">
      <c r="A246" s="118" t="s">
        <v>188</v>
      </c>
      <c r="B246" s="155">
        <f>CHOOSE(IF($B$1=2,2,1),'GAAP-IFRS'!E75,IF('Broker Actual'!E75="-",'GAAP-IFRS'!E75,'Broker Actual'!E75))</f>
        <v>24.798999999999999</v>
      </c>
      <c r="C246" s="155">
        <f>CHOOSE(IF($B$1=2,2,1),'GAAP-IFRS'!F75,IF('Broker Actual'!F75="-",'GAAP-IFRS'!F75,'Broker Actual'!F75))</f>
        <v>97.751999999999995</v>
      </c>
      <c r="D246" s="155">
        <f>CHOOSE(IF($B$1=2,2,1),'GAAP-IFRS'!G75,IF('Broker Actual'!G75="-",'GAAP-IFRS'!G75,'Broker Actual'!G75))</f>
        <v>-49.414999999999999</v>
      </c>
      <c r="E246" s="155">
        <f>CHOOSE(IF($B$1=2,2,1),'GAAP-IFRS'!H75,IF('Broker Actual'!H75="-",'GAAP-IFRS'!H75,'Broker Actual'!H75))</f>
        <v>-12.272</v>
      </c>
      <c r="F246" s="155">
        <f>CHOOSE(IF($B$1=2,2,1),'GAAP-IFRS'!I75,IF('Broker Actual'!I75="-",'GAAP-IFRS'!I75,'Broker Actual'!I75))</f>
        <v>-24.84</v>
      </c>
      <c r="G246" s="155">
        <f>CHOOSE(IF($B$1=2,2,1),'GAAP-IFRS'!J75,IF('Broker Actual'!J75="-",'GAAP-IFRS'!J75,'Broker Actual'!J75))</f>
        <v>37.957000000000001</v>
      </c>
      <c r="H246" s="155">
        <f>CHOOSE(IF($B$1=2,2,1),'GAAP-IFRS'!K75,IF('Broker Actual'!K75="-",'GAAP-IFRS'!K75,'Broker Actual'!K75))</f>
        <v>-27.716000000000001</v>
      </c>
      <c r="I246" s="155">
        <f>CHOOSE(IF($B$1=2,2,1),'GAAP-IFRS'!L75,IF('Broker Actual'!L75="-",'GAAP-IFRS'!L75,'Broker Actual'!L75))</f>
        <v>-115.03</v>
      </c>
      <c r="J246" s="155">
        <f>CHOOSE(IF($B$1=2,2,1),'GAAP-IFRS'!M75,IF('Broker Actual'!M75="-",'GAAP-IFRS'!M75,'Broker Actual'!M75))</f>
        <v>-17.010999999999999</v>
      </c>
      <c r="K246" s="155">
        <f>CHOOSE(IF($B$1=2,2,1),'GAAP-IFRS'!N75,IF('Broker Actual'!N75="-",'GAAP-IFRS'!N75,'Broker Actual'!N75))</f>
        <v>-29.687999999999999</v>
      </c>
      <c r="L246" s="155">
        <f>CHOOSE(IF($B$1=2,2,1),'GAAP-IFRS'!O75,IF('Broker Actual'!O75="-",'GAAP-IFRS'!O75,'Broker Actual'!O75))</f>
        <v>41.396999999999998</v>
      </c>
      <c r="M246" s="156">
        <f>SUM(M241,M243,M244,M245)</f>
        <v>-38.959642618724466</v>
      </c>
      <c r="N246" s="156">
        <f t="shared" ref="N246:Q246" si="273">SUM(N241,N243,N244,N245)</f>
        <v>-57.689514240675337</v>
      </c>
      <c r="O246" s="156">
        <f t="shared" si="273"/>
        <v>-59.017673929496056</v>
      </c>
      <c r="P246" s="156">
        <f t="shared" si="273"/>
        <v>-84.988697793395048</v>
      </c>
      <c r="Q246" s="156">
        <f t="shared" si="273"/>
        <v>-97.580454893379056</v>
      </c>
      <c r="R246" s="157"/>
      <c r="S246" s="157"/>
      <c r="T246" s="157"/>
      <c r="U246" s="157"/>
      <c r="V246" s="157"/>
      <c r="W246" s="158"/>
      <c r="X246" s="159" t="s">
        <v>91</v>
      </c>
      <c r="Y246" s="159" t="s">
        <v>189</v>
      </c>
      <c r="Z246" s="157" t="str" cm="1">
        <f t="array" ref="Z246">_xll.FDSC("--",$A$1,""&amp;$X246&amp;"("&amp;$Y246&amp;","&amp;D$2&amp;",ANNUAL_ROLL,+1,0,,,'CURRENCY="&amp;$E$1&amp;"')")</f>
        <v>--</v>
      </c>
      <c r="AA246" s="157" t="str" cm="1">
        <f t="array" ref="AA246">_xll.FDSC("--",$A$1,""&amp;$X246&amp;"("&amp;$Y246&amp;","&amp;D$2&amp;",ANNUAL_ROLL,+2,0,,,'CURRENCY="&amp;$E$1&amp;"')")</f>
        <v>--</v>
      </c>
      <c r="AB246" s="157" t="str" cm="1">
        <f t="array" ref="AB246">_xll.FDSC("--",$A$1,""&amp;$X246&amp;"("&amp;$Y246&amp;","&amp;D$2&amp;",ANNUAL_ROLL,+3,0,,,'CURRENCY="&amp;$E$1&amp;"')")</f>
        <v>--</v>
      </c>
      <c r="AC246" s="157"/>
      <c r="AD246" s="157" cm="1">
        <f t="array" ref="AD246">_xll.FDSC("--",$A$1,"FF_FIN_CF(LTM_R,0,,,,"&amp;$E$1&amp;")@FF_FIN_CF(LTM_SEMI_R,0,,,,"&amp;$E$1&amp;")")</f>
        <v>-35.347000000000001</v>
      </c>
      <c r="AE246" s="160"/>
    </row>
    <row r="247" spans="1:31" outlineLevel="1" x14ac:dyDescent="0.3">
      <c r="B247" s="124"/>
      <c r="C247" s="124"/>
      <c r="D247" s="124"/>
      <c r="E247" s="124"/>
      <c r="F247" s="124"/>
      <c r="G247" s="124"/>
      <c r="H247" s="124"/>
      <c r="I247" s="124"/>
      <c r="J247" s="124"/>
      <c r="K247" s="124"/>
      <c r="L247" s="124"/>
      <c r="M247" s="124"/>
      <c r="N247" s="124"/>
      <c r="O247" s="124"/>
      <c r="P247" s="124"/>
      <c r="Q247" s="124"/>
      <c r="R247" s="124"/>
      <c r="S247" s="124"/>
      <c r="T247" s="124"/>
      <c r="U247" s="124"/>
      <c r="V247" s="124"/>
      <c r="W247" s="125"/>
      <c r="X247" s="126"/>
      <c r="Y247" s="126"/>
      <c r="Z247" s="124"/>
      <c r="AA247" s="124"/>
      <c r="AB247" s="124"/>
      <c r="AC247" s="124"/>
      <c r="AD247" s="124"/>
      <c r="AE247" s="127"/>
    </row>
    <row r="248" spans="1:31" outlineLevel="1" x14ac:dyDescent="0.3">
      <c r="A248" s="118" t="s">
        <v>190</v>
      </c>
      <c r="B248" s="140"/>
      <c r="C248" s="140"/>
      <c r="D248" s="140"/>
      <c r="E248" s="140"/>
      <c r="F248" s="140"/>
      <c r="G248" s="140"/>
      <c r="H248" s="140"/>
      <c r="I248" s="140"/>
      <c r="J248" s="140"/>
      <c r="K248" s="140"/>
      <c r="L248" s="140"/>
      <c r="M248" s="124"/>
      <c r="N248" s="124"/>
      <c r="O248" s="124"/>
      <c r="P248" s="124"/>
      <c r="Q248" s="124"/>
      <c r="R248" s="124"/>
      <c r="S248" s="124"/>
      <c r="T248" s="124"/>
      <c r="U248" s="124"/>
      <c r="V248" s="124"/>
      <c r="W248" s="190"/>
      <c r="X248" s="126"/>
      <c r="Y248" s="126"/>
      <c r="Z248" s="124"/>
      <c r="AA248" s="124"/>
      <c r="AB248" s="124"/>
      <c r="AC248" s="124"/>
      <c r="AD248" s="124"/>
      <c r="AE248" s="127"/>
    </row>
    <row r="249" spans="1:31" outlineLevel="1" x14ac:dyDescent="0.3">
      <c r="A249" s="79" t="s">
        <v>191</v>
      </c>
      <c r="B249" s="140">
        <f>CHOOSE(IF($B$1=2,2,1),'GAAP-IFRS'!E78,IF('Broker Actual'!E78="-",'GAAP-IFRS'!E78,'Broker Actual'!E78))</f>
        <v>5.0000000000000001E-3</v>
      </c>
      <c r="C249" s="140" t="str">
        <f>CHOOSE(IF($B$1=2,2,1),'GAAP-IFRS'!F78,IF('Broker Actual'!F78="-",'GAAP-IFRS'!F78,'Broker Actual'!F78))</f>
        <v/>
      </c>
      <c r="D249" s="140">
        <f>CHOOSE(IF($B$1=2,2,1),'GAAP-IFRS'!G78,IF('Broker Actual'!G78="-",'GAAP-IFRS'!G78,'Broker Actual'!G78))</f>
        <v>-2.9000000000000001E-2</v>
      </c>
      <c r="E249" s="140">
        <f>CHOOSE(IF($B$1=2,2,1),'GAAP-IFRS'!H78,IF('Broker Actual'!H78="-",'GAAP-IFRS'!H78,'Broker Actual'!H78))</f>
        <v>-6.0999999999999999E-2</v>
      </c>
      <c r="F249" s="140">
        <f>CHOOSE(IF($B$1=2,2,1),'GAAP-IFRS'!I78,IF('Broker Actual'!I78="-",'GAAP-IFRS'!I78,'Broker Actual'!I78))</f>
        <v>3.0000000000000001E-3</v>
      </c>
      <c r="G249" s="140">
        <f>CHOOSE(IF($B$1=2,2,1),'GAAP-IFRS'!J78,IF('Broker Actual'!J78="-",'GAAP-IFRS'!J78,'Broker Actual'!J78))</f>
        <v>6.0999999999999999E-2</v>
      </c>
      <c r="H249" s="140">
        <f>CHOOSE(IF($B$1=2,2,1),'GAAP-IFRS'!K78,IF('Broker Actual'!K78="-",'GAAP-IFRS'!K78,'Broker Actual'!K78))</f>
        <v>-0.16400000000000001</v>
      </c>
      <c r="I249" s="140">
        <f>CHOOSE(IF($B$1=2,2,1),'GAAP-IFRS'!L78,IF('Broker Actual'!L78="-",'GAAP-IFRS'!L78,'Broker Actual'!L78))</f>
        <v>-2.1999999999999999E-2</v>
      </c>
      <c r="J249" s="140">
        <f>CHOOSE(IF($B$1=2,2,1),'GAAP-IFRS'!M78,IF('Broker Actual'!M78="-",'GAAP-IFRS'!M78,'Broker Actual'!M78))</f>
        <v>2E-3</v>
      </c>
      <c r="K249" s="140">
        <f>CHOOSE(IF($B$1=2,2,1),'GAAP-IFRS'!N78,IF('Broker Actual'!N78="-",'GAAP-IFRS'!N78,'Broker Actual'!N78))</f>
        <v>-5.3999999999999999E-2</v>
      </c>
      <c r="L249" s="140">
        <f>CHOOSE(IF($B$1=2,2,1),'GAAP-IFRS'!O78,IF('Broker Actual'!O78="-",'GAAP-IFRS'!O78,'Broker Actual'!O78))</f>
        <v>-9.8000000000000004E-2</v>
      </c>
      <c r="M249" s="124"/>
      <c r="N249" s="124"/>
      <c r="O249" s="124"/>
      <c r="P249" s="124"/>
      <c r="Q249" s="124"/>
      <c r="R249" s="124"/>
      <c r="S249" s="124"/>
      <c r="T249" s="124"/>
      <c r="U249" s="124"/>
      <c r="V249" s="124"/>
      <c r="W249" s="125"/>
      <c r="X249" s="126"/>
      <c r="Y249" s="126"/>
      <c r="Z249" s="124"/>
      <c r="AA249" s="124"/>
      <c r="AB249" s="124"/>
      <c r="AC249" s="124"/>
      <c r="AD249" s="124" cm="1">
        <f t="array" ref="AD249">_xll.FDSC("--",$A$1,"FF_FOR_EXCH_CF(LTM_R,0,,,,"&amp;$E$1&amp;")@FF_FOR_EXCH_CF(LTM_SEMI_R,0,,,,"&amp;$E$1&amp;")")</f>
        <v>-4.3999999999999997E-2</v>
      </c>
      <c r="AE249" s="127"/>
    </row>
    <row r="250" spans="1:31" outlineLevel="1" x14ac:dyDescent="0.3">
      <c r="A250" s="79" t="s">
        <v>192</v>
      </c>
      <c r="B250" s="140">
        <f>CHOOSE(IF($B$1=2,2,1),'GAAP-IFRS'!E79,IF('Broker Actual'!E79="-",'GAAP-IFRS'!E79,'Broker Actual'!E79))</f>
        <v>129.85900000000001</v>
      </c>
      <c r="C250" s="140">
        <f>CHOOSE(IF($B$1=2,2,1),'GAAP-IFRS'!F79,IF('Broker Actual'!F79="-",'GAAP-IFRS'!F79,'Broker Actual'!F79))</f>
        <v>63.183999999999997</v>
      </c>
      <c r="D250" s="140">
        <f>CHOOSE(IF($B$1=2,2,1),'GAAP-IFRS'!G79,IF('Broker Actual'!G79="-",'GAAP-IFRS'!G79,'Broker Actual'!G79))</f>
        <v>21.318000000000001</v>
      </c>
      <c r="E250" s="140">
        <f>CHOOSE(IF($B$1=2,2,1),'GAAP-IFRS'!H79,IF('Broker Actual'!H79="-",'GAAP-IFRS'!H79,'Broker Actual'!H79))</f>
        <v>-46.677999999999997</v>
      </c>
      <c r="F250" s="140">
        <f>CHOOSE(IF($B$1=2,2,1),'GAAP-IFRS'!I79,IF('Broker Actual'!I79="-",'GAAP-IFRS'!I79,'Broker Actual'!I79))</f>
        <v>12.792999999999999</v>
      </c>
      <c r="G250" s="140">
        <f>CHOOSE(IF($B$1=2,2,1),'GAAP-IFRS'!J79,IF('Broker Actual'!J79="-",'GAAP-IFRS'!J79,'Broker Actual'!J79))</f>
        <v>-24.646999999999998</v>
      </c>
      <c r="H250" s="140">
        <f>CHOOSE(IF($B$1=2,2,1),'GAAP-IFRS'!K79,IF('Broker Actual'!K79="-",'GAAP-IFRS'!K79,'Broker Actual'!K79))</f>
        <v>-16.535</v>
      </c>
      <c r="I250" s="140">
        <f>CHOOSE(IF($B$1=2,2,1),'GAAP-IFRS'!L79,IF('Broker Actual'!L79="-",'GAAP-IFRS'!L79,'Broker Actual'!L79))</f>
        <v>-10.24</v>
      </c>
      <c r="J250" s="140">
        <f>CHOOSE(IF($B$1=2,2,1),'GAAP-IFRS'!M79,IF('Broker Actual'!M79="-",'GAAP-IFRS'!M79,'Broker Actual'!M79))</f>
        <v>203.82300000000001</v>
      </c>
      <c r="K250" s="140">
        <f>CHOOSE(IF($B$1=2,2,1),'GAAP-IFRS'!N79,IF('Broker Actual'!N79="-",'GAAP-IFRS'!N79,'Broker Actual'!N79))</f>
        <v>197.602</v>
      </c>
      <c r="L250" s="140">
        <f>CHOOSE(IF($B$1=2,2,1),'GAAP-IFRS'!O79,IF('Broker Actual'!O79="-",'GAAP-IFRS'!O79,'Broker Actual'!O79))</f>
        <v>-393.58</v>
      </c>
      <c r="M250" s="124"/>
      <c r="N250" s="124"/>
      <c r="O250" s="124"/>
      <c r="P250" s="124"/>
      <c r="Q250" s="124"/>
      <c r="R250" s="124"/>
      <c r="S250" s="124"/>
      <c r="T250" s="124"/>
      <c r="U250" s="124"/>
      <c r="V250" s="124"/>
      <c r="W250" s="125"/>
      <c r="X250" s="126"/>
      <c r="Y250" s="126"/>
      <c r="Z250" s="124"/>
      <c r="AA250" s="124"/>
      <c r="AB250" s="124"/>
      <c r="AC250" s="124"/>
      <c r="AD250" s="124" cm="1">
        <f t="array" ref="AD250">_xll.FDSC("--",$A$1,"FF_CHG_CASH_CF(LTM_R,0,,,,"&amp;$E$1&amp;")@FF_CHG_CASH_CF(LTM_SEMI_R,0,,,,"&amp;$E$1&amp;")")</f>
        <v>-66.11</v>
      </c>
      <c r="AE250" s="127"/>
    </row>
    <row r="251" spans="1:31" outlineLevel="1" x14ac:dyDescent="0.3">
      <c r="A251" s="79" t="s">
        <v>193</v>
      </c>
      <c r="B251" s="140">
        <f>CHOOSE(IF($B$1=2,2,1),'GAAP-IFRS'!E80,IF('Broker Actual'!E80="-",'GAAP-IFRS'!E80,'Broker Actual'!E80))</f>
        <v>96.509</v>
      </c>
      <c r="C251" s="140">
        <f>CHOOSE(IF($B$1=2,2,1),'GAAP-IFRS'!F80,IF('Broker Actual'!F80="-",'GAAP-IFRS'!F80,'Broker Actual'!F80))</f>
        <v>41.137</v>
      </c>
      <c r="D251" s="140">
        <f>CHOOSE(IF($B$1=2,2,1),'GAAP-IFRS'!G80,IF('Broker Actual'!G80="-",'GAAP-IFRS'!G80,'Broker Actual'!G80))</f>
        <v>76.605999999999995</v>
      </c>
      <c r="E251" s="140">
        <f>CHOOSE(IF($B$1=2,2,1),'GAAP-IFRS'!H80,IF('Broker Actual'!H80="-",'GAAP-IFRS'!H80,'Broker Actual'!H80))</f>
        <v>32.761000000000003</v>
      </c>
      <c r="F251" s="140">
        <f>CHOOSE(IF($B$1=2,2,1),'GAAP-IFRS'!I80,IF('Broker Actual'!I80="-",'GAAP-IFRS'!I80,'Broker Actual'!I80))</f>
        <v>75.418999999999997</v>
      </c>
      <c r="G251" s="140">
        <f>CHOOSE(IF($B$1=2,2,1),'GAAP-IFRS'!J80,IF('Broker Actual'!J80="-",'GAAP-IFRS'!J80,'Broker Actual'!J80))</f>
        <v>13.428000000000001</v>
      </c>
      <c r="H251" s="140">
        <f>CHOOSE(IF($B$1=2,2,1),'GAAP-IFRS'!K80,IF('Broker Actual'!K80="-",'GAAP-IFRS'!K80,'Broker Actual'!K80))</f>
        <v>16.91</v>
      </c>
      <c r="I251" s="140">
        <f>CHOOSE(IF($B$1=2,2,1),'GAAP-IFRS'!L80,IF('Broker Actual'!L80="-",'GAAP-IFRS'!L80,'Broker Actual'!L80))</f>
        <v>40.575000000000003</v>
      </c>
      <c r="J251" s="140">
        <f>CHOOSE(IF($B$1=2,2,1),'GAAP-IFRS'!M80,IF('Broker Actual'!M80="-",'GAAP-IFRS'!M80,'Broker Actual'!M80))</f>
        <v>60.572000000000003</v>
      </c>
      <c r="K251" s="140">
        <f>CHOOSE(IF($B$1=2,2,1),'GAAP-IFRS'!N80,IF('Broker Actual'!N80="-",'GAAP-IFRS'!N80,'Broker Actual'!N80))</f>
        <v>84.706000000000003</v>
      </c>
      <c r="L251" s="140">
        <f>CHOOSE(IF($B$1=2,2,1),'GAAP-IFRS'!O80,IF('Broker Actual'!O80="-",'GAAP-IFRS'!O80,'Broker Actual'!O80))</f>
        <v>-15.798999999999999</v>
      </c>
      <c r="M251" s="124"/>
      <c r="N251" s="124"/>
      <c r="O251" s="124"/>
      <c r="P251" s="124"/>
      <c r="Q251" s="124"/>
      <c r="R251" s="124"/>
      <c r="S251" s="124"/>
      <c r="T251" s="124"/>
      <c r="U251" s="124"/>
      <c r="V251" s="124"/>
      <c r="W251" s="125"/>
      <c r="X251" s="126" t="s">
        <v>91</v>
      </c>
      <c r="Y251" s="126" t="s">
        <v>194</v>
      </c>
      <c r="Z251" s="124" t="str" cm="1">
        <f t="array" ref="Z251">_xll.FDSC("--",$A$1,""&amp;$X251&amp;"("&amp;$Y251&amp;","&amp;D$2&amp;",ANNUAL_ROLL,+1,0,,,'CURRENCY="&amp;$E$1&amp;"')")</f>
        <v>--</v>
      </c>
      <c r="AA251" s="124" t="str" cm="1">
        <f t="array" ref="AA251">_xll.FDSC("--",$A$1,""&amp;$X251&amp;"("&amp;$Y251&amp;","&amp;D$2&amp;",ANNUAL_ROLL,+2,0,,,'CURRENCY="&amp;$E$1&amp;"')")</f>
        <v>--</v>
      </c>
      <c r="AB251" s="124" t="str" cm="1">
        <f t="array" ref="AB251">_xll.FDSC("--",$A$1,""&amp;$X251&amp;"("&amp;$Y251&amp;","&amp;D$2&amp;",ANNUAL_ROLL,+3,0,,,'CURRENCY="&amp;$E$1&amp;"')")</f>
        <v>--</v>
      </c>
      <c r="AC251" s="124"/>
      <c r="AD251" s="124" cm="1">
        <f t="array" ref="AD251">_xll.FDSC("--",$A$1,"FF_FREE_CF(LTM_R,0,,,,"&amp;$E$1&amp;")@FF_FREE_CF(LTM_SEMI_R,0,,,,"&amp;$E$1&amp;")")</f>
        <v>-28.404</v>
      </c>
      <c r="AE251" s="127"/>
    </row>
    <row r="252" spans="1:31" outlineLevel="1" x14ac:dyDescent="0.3">
      <c r="A252" s="79" t="s">
        <v>195</v>
      </c>
      <c r="B252" s="192">
        <f>CHOOSE(IF($B$1=2,2,1),'GAAP-IFRS'!E81,IF('Broker Actual'!E81="-",'GAAP-IFRS'!E81,'Broker Actual'!E81))</f>
        <v>9.8348109650463709</v>
      </c>
      <c r="C252" s="192">
        <f>CHOOSE(IF($B$1=2,2,1),'GAAP-IFRS'!F81,IF('Broker Actual'!F81="-",'GAAP-IFRS'!F81,'Broker Actual'!F81))</f>
        <v>3.69870526883654</v>
      </c>
      <c r="D252" s="192">
        <f>CHOOSE(IF($B$1=2,2,1),'GAAP-IFRS'!G81,IF('Broker Actual'!G81="-",'GAAP-IFRS'!G81,'Broker Actual'!G81))</f>
        <v>6.55088079356935</v>
      </c>
      <c r="E252" s="192">
        <f>CHOOSE(IF($B$1=2,2,1),'GAAP-IFRS'!H81,IF('Broker Actual'!H81="-",'GAAP-IFRS'!H81,'Broker Actual'!H81))</f>
        <v>2.88516072214883</v>
      </c>
      <c r="F252" s="192">
        <f>CHOOSE(IF($B$1=2,2,1),'GAAP-IFRS'!I81,IF('Broker Actual'!I81="-",'GAAP-IFRS'!I81,'Broker Actual'!I81))</f>
        <v>6.93635611146878</v>
      </c>
      <c r="G252" s="192">
        <f>CHOOSE(IF($B$1=2,2,1),'GAAP-IFRS'!J81,IF('Broker Actual'!J81="-",'GAAP-IFRS'!J81,'Broker Actual'!J81))</f>
        <v>1.5690581911661601</v>
      </c>
      <c r="H252" s="192">
        <f>CHOOSE(IF($B$1=2,2,1),'GAAP-IFRS'!K81,IF('Broker Actual'!K81="-",'GAAP-IFRS'!K81,'Broker Actual'!K81))</f>
        <v>2.1418619379354</v>
      </c>
      <c r="I252" s="192">
        <f>CHOOSE(IF($B$1=2,2,1),'GAAP-IFRS'!L81,IF('Broker Actual'!L81="-",'GAAP-IFRS'!L81,'Broker Actual'!L81))</f>
        <v>3.9631764016409501</v>
      </c>
      <c r="J252" s="192">
        <f>CHOOSE(IF($B$1=2,2,1),'GAAP-IFRS'!M81,IF('Broker Actual'!M81="-",'GAAP-IFRS'!M81,'Broker Actual'!M81))</f>
        <v>6.2484010728285497</v>
      </c>
      <c r="K252" s="192">
        <f>CHOOSE(IF($B$1=2,2,1),'GAAP-IFRS'!N81,IF('Broker Actual'!N81="-",'GAAP-IFRS'!N81,'Broker Actual'!N81))</f>
        <v>9.8724941724941697</v>
      </c>
      <c r="L252" s="192">
        <f>CHOOSE(IF($B$1=2,2,1),'GAAP-IFRS'!O81,IF('Broker Actual'!O81="-",'GAAP-IFRS'!O81,'Broker Actual'!O81))</f>
        <v>-1.7918793240331199</v>
      </c>
    </row>
    <row r="253" spans="1:31" outlineLevel="1" x14ac:dyDescent="0.3">
      <c r="A253" s="79" t="s">
        <v>196</v>
      </c>
      <c r="B253" s="130">
        <f>B252/B57</f>
        <v>4.2099812784061996E-2</v>
      </c>
      <c r="C253" s="130">
        <f t="shared" ref="C253:L253" si="274">C252/C$57</f>
        <v>1.5341722810079889E-2</v>
      </c>
      <c r="D253" s="130">
        <f t="shared" si="274"/>
        <v>2.4617376379399904E-2</v>
      </c>
      <c r="E253" s="130">
        <f t="shared" si="274"/>
        <v>1.0089667923808297E-2</v>
      </c>
      <c r="F253" s="130">
        <f t="shared" si="274"/>
        <v>2.6229763775851324E-2</v>
      </c>
      <c r="G253" s="130">
        <f t="shared" si="274"/>
        <v>6.4198840910867985E-3</v>
      </c>
      <c r="H253" s="130">
        <f t="shared" si="274"/>
        <v>9.2604237843738647E-3</v>
      </c>
      <c r="I253" s="130">
        <f t="shared" si="274"/>
        <v>1.6344747897263007E-2</v>
      </c>
      <c r="J253" s="130">
        <f t="shared" si="274"/>
        <v>2.0127758845848109E-2</v>
      </c>
      <c r="K253" s="130">
        <f t="shared" si="274"/>
        <v>2.4202331790922543E-2</v>
      </c>
      <c r="L253" s="130">
        <f t="shared" si="274"/>
        <v>-3.5868935930665801E-3</v>
      </c>
    </row>
    <row r="254" spans="1:31" outlineLevel="1" x14ac:dyDescent="0.3">
      <c r="B254" s="193"/>
      <c r="C254" s="193"/>
      <c r="D254" s="193"/>
      <c r="E254" s="193"/>
      <c r="F254" s="193"/>
      <c r="G254" s="193"/>
      <c r="H254" s="193"/>
      <c r="I254" s="193"/>
    </row>
    <row r="255" spans="1:31" outlineLevel="1" x14ac:dyDescent="0.3">
      <c r="B255" s="193"/>
      <c r="C255" s="193"/>
      <c r="D255" s="193"/>
      <c r="E255" s="193"/>
      <c r="F255" s="193"/>
      <c r="G255" s="193"/>
      <c r="H255" s="193"/>
    </row>
    <row r="256" spans="1:31" outlineLevel="1" x14ac:dyDescent="0.3">
      <c r="B256" s="193"/>
      <c r="C256" s="193"/>
      <c r="D256" s="193"/>
      <c r="E256" s="193"/>
      <c r="F256" s="193"/>
      <c r="G256" s="193"/>
      <c r="H256" s="193"/>
      <c r="L256" s="128"/>
    </row>
    <row r="257" spans="1:1" outlineLevel="1" x14ac:dyDescent="0.3"/>
    <row r="258" spans="1:1" outlineLevel="1" x14ac:dyDescent="0.3"/>
    <row r="259" spans="1:1" outlineLevel="1" x14ac:dyDescent="0.3"/>
    <row r="260" spans="1:1" outlineLevel="1" x14ac:dyDescent="0.3"/>
    <row r="261" spans="1:1" outlineLevel="1" x14ac:dyDescent="0.3"/>
    <row r="262" spans="1:1" outlineLevel="1" x14ac:dyDescent="0.3"/>
    <row r="263" spans="1:1" outlineLevel="1" x14ac:dyDescent="0.3"/>
    <row r="264" spans="1:1" outlineLevel="1" x14ac:dyDescent="0.3"/>
    <row r="265" spans="1:1" outlineLevel="1" x14ac:dyDescent="0.3"/>
    <row r="266" spans="1:1" outlineLevel="1" x14ac:dyDescent="0.3"/>
    <row r="267" spans="1:1" outlineLevel="1" x14ac:dyDescent="0.3">
      <c r="A267" s="118"/>
    </row>
  </sheetData>
  <conditionalFormatting sqref="B57:L57 B107:L107 B114:L114 B116:L117 B121:L121 B123:L123 B128:L128 B135:L135 B137:L137 B154:L154">
    <cfRule type="expression" dxfId="180" priority="186">
      <formula>$B$1=2</formula>
    </cfRule>
  </conditionalFormatting>
  <conditionalFormatting sqref="B105:L105">
    <cfRule type="expression" dxfId="178" priority="47">
      <formula>$B$1=1</formula>
    </cfRule>
    <cfRule type="expression" dxfId="177" priority="48">
      <formula>$B$1=2</formula>
    </cfRule>
  </conditionalFormatting>
  <conditionalFormatting sqref="B154:L155">
    <cfRule type="expression" dxfId="171" priority="163">
      <formula>$B$1=1</formula>
    </cfRule>
  </conditionalFormatting>
  <conditionalFormatting sqref="B155:L155">
    <cfRule type="expression" dxfId="170" priority="164">
      <formula>$B$1=2</formula>
    </cfRule>
  </conditionalFormatting>
  <conditionalFormatting sqref="B157:L157">
    <cfRule type="expression" dxfId="169" priority="160">
      <formula>$B$1=1</formula>
    </cfRule>
    <cfRule type="expression" dxfId="168" priority="161">
      <formula>$B$1=2</formula>
    </cfRule>
  </conditionalFormatting>
  <conditionalFormatting sqref="B159:L162 B164:L164">
    <cfRule type="expression" dxfId="166" priority="148">
      <formula>$B$1=1</formula>
    </cfRule>
    <cfRule type="expression" dxfId="165" priority="149">
      <formula>$B$1=2</formula>
    </cfRule>
  </conditionalFormatting>
  <conditionalFormatting sqref="B208:L209 B211:L211">
    <cfRule type="expression" dxfId="163" priority="115">
      <formula>$B$1=1</formula>
    </cfRule>
    <cfRule type="expression" dxfId="162" priority="116">
      <formula>$B$1=2</formula>
    </cfRule>
  </conditionalFormatting>
  <conditionalFormatting sqref="B213:L213 B228:L229">
    <cfRule type="expression" dxfId="161" priority="292">
      <formula>$B$1=2</formula>
    </cfRule>
  </conditionalFormatting>
  <conditionalFormatting sqref="B215:L215">
    <cfRule type="expression" dxfId="159" priority="546">
      <formula>$B$1=2</formula>
    </cfRule>
  </conditionalFormatting>
  <conditionalFormatting sqref="B217:L217 B57:L57 B107:L107 B114:L114 B116:L117 B121:L121 B123:L123 B128:L128 B135:L135 B137:L137 B213:L213 B215:L215 B219:L219">
    <cfRule type="expression" dxfId="158" priority="185">
      <formula>$B$1=1</formula>
    </cfRule>
  </conditionalFormatting>
  <conditionalFormatting sqref="B219:L219">
    <cfRule type="expression" dxfId="156" priority="540">
      <formula>$B$1=2</formula>
    </cfRule>
  </conditionalFormatting>
  <conditionalFormatting sqref="B222:L222">
    <cfRule type="expression" dxfId="154" priority="2">
      <formula>$B$1=2</formula>
    </cfRule>
    <cfRule type="expression" dxfId="153" priority="3">
      <formula>$B$1=1</formula>
    </cfRule>
  </conditionalFormatting>
  <conditionalFormatting sqref="B224:L228 B230:L231 B217:L217">
    <cfRule type="expression" dxfId="152" priority="101">
      <formula>$B$1=2</formula>
    </cfRule>
  </conditionalFormatting>
  <conditionalFormatting sqref="B224:L228">
    <cfRule type="expression" dxfId="150" priority="367">
      <formula>$B$1=2</formula>
    </cfRule>
  </conditionalFormatting>
  <conditionalFormatting sqref="B224:L232">
    <cfRule type="expression" dxfId="149" priority="100">
      <formula>$B$1=1</formula>
    </cfRule>
  </conditionalFormatting>
  <conditionalFormatting sqref="B225:L228">
    <cfRule type="expression" dxfId="147" priority="342">
      <formula>$B$1=2</formula>
    </cfRule>
  </conditionalFormatting>
  <conditionalFormatting sqref="B227:L227">
    <cfRule type="expression" dxfId="145" priority="317">
      <formula>$B$1=2</formula>
    </cfRule>
  </conditionalFormatting>
  <conditionalFormatting sqref="B230:L230">
    <cfRule type="expression" dxfId="142" priority="434">
      <formula>$B$1=2</formula>
    </cfRule>
  </conditionalFormatting>
  <conditionalFormatting sqref="B230:L231">
    <cfRule type="expression" dxfId="140" priority="430">
      <formula>$B$1=2</formula>
    </cfRule>
  </conditionalFormatting>
  <conditionalFormatting sqref="B231:L231">
    <cfRule type="expression" dxfId="138" priority="242">
      <formula>$B$1=2</formula>
    </cfRule>
    <cfRule type="expression" dxfId="136" priority="436">
      <formula>$B$1=2</formula>
    </cfRule>
  </conditionalFormatting>
  <conditionalFormatting sqref="B232:L232">
    <cfRule type="expression" dxfId="134" priority="214">
      <formula>$B$1=2</formula>
    </cfRule>
  </conditionalFormatting>
  <conditionalFormatting sqref="B241:L241">
    <cfRule type="expression" dxfId="132" priority="91">
      <formula>$B$1=1</formula>
    </cfRule>
    <cfRule type="expression" dxfId="131" priority="92">
      <formula>$B$1=2</formula>
    </cfRule>
  </conditionalFormatting>
  <conditionalFormatting sqref="B243:L246 B249:L252">
    <cfRule type="expression" dxfId="129" priority="73">
      <formula>$B$1=1</formula>
    </cfRule>
    <cfRule type="expression" dxfId="128" priority="74">
      <formula>$B$1=2</formula>
    </cfRule>
  </conditionalFormatting>
  <conditionalFormatting sqref="M166 B166:L170 B172:L174">
    <cfRule type="expression" dxfId="126" priority="130">
      <formula>$B$1=1</formula>
    </cfRule>
    <cfRule type="expression" dxfId="125" priority="131">
      <formula>$B$1=2</formula>
    </cfRule>
  </conditionalFormatting>
  <conditionalFormatting sqref="M169:Q169">
    <cfRule type="cellIs" dxfId="124" priority="55" operator="lessThan">
      <formula>0</formula>
    </cfRule>
  </conditionalFormatting>
  <pageMargins left="0.7" right="0.7" top="0.75" bottom="0.75" header="0.3" footer="0.3"/>
  <pageSetup orientation="portrait" verticalDpi="1200" r:id="rId1"/>
  <legacy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173" id="{6F7BF38A-4781-4F87-9F39-F2B8D5568A15}">
            <xm:f>AND($B$1=2,'Broker Actual'!E25="-")</xm:f>
            <x14:dxf>
              <font>
                <color rgb="FF00B050"/>
              </font>
            </x14:dxf>
          </x14:cfRule>
          <xm:sqref>B105:L105 B107:L107</xm:sqref>
        </x14:conditionalFormatting>
        <x14:conditionalFormatting xmlns:xm="http://schemas.microsoft.com/office/excel/2006/main">
          <x14:cfRule type="expression" priority="171" id="{3CE1C582-CAEA-418A-863E-E96DFF2F463D}">
            <xm:f>AND($B$1=2,'Broker Actual'!E17="-")</xm:f>
            <x14:dxf>
              <font>
                <color rgb="FF00B050"/>
              </font>
            </x14:dxf>
          </x14:cfRule>
          <xm:sqref>B116:L117</xm:sqref>
        </x14:conditionalFormatting>
        <x14:conditionalFormatting xmlns:xm="http://schemas.microsoft.com/office/excel/2006/main">
          <x14:cfRule type="expression" priority="170" id="{6C74818B-E249-4013-912E-704B2E44E1FD}">
            <xm:f>AND($B$1=2,'Broker Actual'!E19="-")</xm:f>
            <x14:dxf>
              <font>
                <color rgb="FF00B050"/>
              </font>
            </x14:dxf>
          </x14:cfRule>
          <xm:sqref>B121:L121 B123:L123</xm:sqref>
        </x14:conditionalFormatting>
        <x14:conditionalFormatting xmlns:xm="http://schemas.microsoft.com/office/excel/2006/main">
          <x14:cfRule type="expression" priority="167" id="{3017355A-B7EE-433E-8A90-7B574D33C73B}">
            <xm:f>AND($B$1=2,'Broker Actual'!E22="-")</xm:f>
            <x14:dxf>
              <font>
                <color rgb="FF00B050"/>
              </font>
            </x14:dxf>
          </x14:cfRule>
          <xm:sqref>B128:L128</xm:sqref>
        </x14:conditionalFormatting>
        <x14:conditionalFormatting xmlns:xm="http://schemas.microsoft.com/office/excel/2006/main">
          <x14:cfRule type="expression" priority="165" id="{7936869B-D6FF-42B3-BE9B-3179787CD4BE}">
            <xm:f>AND($B$1=2,'Broker Actual'!E24="-")</xm:f>
            <x14:dxf>
              <font>
                <color rgb="FF00B050"/>
              </font>
            </x14:dxf>
          </x14:cfRule>
          <xm:sqref>B135:L135 B137:L137</xm:sqref>
        </x14:conditionalFormatting>
        <x14:conditionalFormatting xmlns:xm="http://schemas.microsoft.com/office/excel/2006/main">
          <x14:cfRule type="expression" priority="172" id="{778D33C4-C1F9-459F-98DD-3CC22DED687E}">
            <xm:f>AND($B$1=2,'Broker Actual'!E28="-")</xm:f>
            <x14:dxf>
              <font>
                <color rgb="FF00B050"/>
              </font>
            </x14:dxf>
          </x14:cfRule>
          <xm:sqref>B154:L155 B157:L157</xm:sqref>
        </x14:conditionalFormatting>
        <x14:conditionalFormatting xmlns:xm="http://schemas.microsoft.com/office/excel/2006/main">
          <x14:cfRule type="expression" priority="147" id="{90334099-FEFC-4873-88A7-B4FA5FF7EEB2}">
            <xm:f>AND($B$1=2,'Broker Actual'!E32="-")</xm:f>
            <x14:dxf>
              <font>
                <color rgb="FF00B050"/>
              </font>
            </x14:dxf>
          </x14:cfRule>
          <xm:sqref>B159:L162 B164:L164</xm:sqref>
        </x14:conditionalFormatting>
        <x14:conditionalFormatting xmlns:xm="http://schemas.microsoft.com/office/excel/2006/main">
          <x14:cfRule type="expression" priority="114" id="{EBB1C8A8-9419-4D83-BEAA-AA496BFC0463}">
            <xm:f>AND($B$1=2,'Broker Actual'!E50="-")</xm:f>
            <x14:dxf>
              <font>
                <color rgb="FF00B050"/>
              </font>
            </x14:dxf>
          </x14:cfRule>
          <xm:sqref>B208:L209 B211:L211</xm:sqref>
        </x14:conditionalFormatting>
        <x14:conditionalFormatting xmlns:xm="http://schemas.microsoft.com/office/excel/2006/main">
          <x14:cfRule type="expression" priority="545" id="{3D7C9E23-B800-49B8-81EB-D98B492DA0E9}">
            <xm:f>AND($B$1=2,'Broker Actual'!E54="-")</xm:f>
            <x14:dxf>
              <font>
                <color rgb="FF00B050"/>
              </font>
            </x14:dxf>
          </x14:cfRule>
          <xm:sqref>B215:L215</xm:sqref>
        </x14:conditionalFormatting>
        <x14:conditionalFormatting xmlns:xm="http://schemas.microsoft.com/office/excel/2006/main">
          <x14:cfRule type="expression" priority="539" id="{3D7C9E23-B800-49B8-81EB-D98B492DA0E9}">
            <xm:f>AND($B$1=2,'Broker Actual'!E56="-")</xm:f>
            <x14:dxf>
              <font>
                <color rgb="FF00B050"/>
              </font>
            </x14:dxf>
          </x14:cfRule>
          <xm:sqref>B219:L219</xm:sqref>
        </x14:conditionalFormatting>
        <x14:conditionalFormatting xmlns:xm="http://schemas.microsoft.com/office/excel/2006/main">
          <x14:cfRule type="expression" priority="99" id="{3D7C9E23-B800-49B8-81EB-D98B492DA0E9}">
            <xm:f>AND($B$1=2,'Broker Actual'!E55="-")</xm:f>
            <x14:dxf>
              <font>
                <color rgb="FF00B050"/>
              </font>
            </x14:dxf>
          </x14:cfRule>
          <xm:sqref>B222:L222 B217:L217 B224:L228 B230:L231</xm:sqref>
        </x14:conditionalFormatting>
        <x14:conditionalFormatting xmlns:xm="http://schemas.microsoft.com/office/excel/2006/main">
          <x14:cfRule type="expression" priority="366" id="{3D7C9E23-B800-49B8-81EB-D98B492DA0E9}">
            <xm:f>AND($B$1=2,'Broker Actual'!E68="-")</xm:f>
            <x14:dxf>
              <font>
                <color rgb="FF00B050"/>
              </font>
            </x14:dxf>
          </x14:cfRule>
          <xm:sqref>B224:L228</xm:sqref>
        </x14:conditionalFormatting>
        <x14:conditionalFormatting xmlns:xm="http://schemas.microsoft.com/office/excel/2006/main">
          <x14:cfRule type="expression" priority="341" id="{3D7C9E23-B800-49B8-81EB-D98B492DA0E9}">
            <xm:f>AND($B$1=2,'Broker Actual'!E68="-")</xm:f>
            <x14:dxf>
              <font>
                <color rgb="FF00B050"/>
              </font>
            </x14:dxf>
          </x14:cfRule>
          <xm:sqref>B225:L228</xm:sqref>
        </x14:conditionalFormatting>
        <x14:conditionalFormatting xmlns:xm="http://schemas.microsoft.com/office/excel/2006/main">
          <x14:cfRule type="expression" priority="316" id="{3D7C9E23-B800-49B8-81EB-D98B492DA0E9}">
            <xm:f>AND($B$1=2,'Broker Actual'!E68="-")</xm:f>
            <x14:dxf>
              <font>
                <color rgb="FF00B050"/>
              </font>
            </x14:dxf>
          </x14:cfRule>
          <xm:sqref>B227:L227</xm:sqref>
        </x14:conditionalFormatting>
        <x14:conditionalFormatting xmlns:xm="http://schemas.microsoft.com/office/excel/2006/main">
          <x14:cfRule type="expression" priority="291" id="{3D7C9E23-B800-49B8-81EB-D98B492DA0E9}">
            <xm:f>AND($B$1=2,'Broker Actual'!E53="-")</xm:f>
            <x14:dxf>
              <font>
                <color rgb="FF00B050"/>
              </font>
            </x14:dxf>
          </x14:cfRule>
          <xm:sqref>B228:L229 B213:L213</xm:sqref>
        </x14:conditionalFormatting>
        <x14:conditionalFormatting xmlns:xm="http://schemas.microsoft.com/office/excel/2006/main">
          <x14:cfRule type="expression" priority="433" id="{3D7C9E23-B800-49B8-81EB-D98B492DA0E9}">
            <xm:f>AND($B$1=2,'Broker Actual'!#REF!="-")</xm:f>
            <x14:dxf>
              <font>
                <color rgb="FF00B050"/>
              </font>
            </x14:dxf>
          </x14:cfRule>
          <xm:sqref>B230:L230</xm:sqref>
        </x14:conditionalFormatting>
        <x14:conditionalFormatting xmlns:xm="http://schemas.microsoft.com/office/excel/2006/main">
          <x14:cfRule type="expression" priority="429" id="{3D7C9E23-B800-49B8-81EB-D98B492DA0E9}">
            <xm:f>AND($B$1=2,'Broker Actual'!#REF!="-")</xm:f>
            <x14:dxf>
              <font>
                <color rgb="FF00B050"/>
              </font>
            </x14:dxf>
          </x14:cfRule>
          <xm:sqref>B230:L231</xm:sqref>
        </x14:conditionalFormatting>
        <x14:conditionalFormatting xmlns:xm="http://schemas.microsoft.com/office/excel/2006/main">
          <x14:cfRule type="expression" priority="240" id="{3D7C9E23-B800-49B8-81EB-D98B492DA0E9}">
            <xm:f>AND($B$1=2,'Broker Actual'!E68="-")</xm:f>
            <x14:dxf>
              <font>
                <color rgb="FF00B050"/>
              </font>
            </x14:dxf>
          </x14:cfRule>
          <x14:cfRule type="expression" priority="435" id="{3D7C9E23-B800-49B8-81EB-D98B492DA0E9}">
            <xm:f>AND($B$1=2,'Broker Actual'!E73="-")</xm:f>
            <x14:dxf>
              <font>
                <color rgb="FF00B050"/>
              </font>
            </x14:dxf>
          </x14:cfRule>
          <xm:sqref>B231:L231</xm:sqref>
        </x14:conditionalFormatting>
        <x14:conditionalFormatting xmlns:xm="http://schemas.microsoft.com/office/excel/2006/main">
          <x14:cfRule type="expression" priority="212" id="{3D7C9E23-B800-49B8-81EB-D98B492DA0E9}">
            <xm:f>AND($B$1=2,'Broker Actual'!E68="-")</xm:f>
            <x14:dxf>
              <font>
                <color rgb="FF00B050"/>
              </font>
            </x14:dxf>
          </x14:cfRule>
          <xm:sqref>B232:L232</xm:sqref>
        </x14:conditionalFormatting>
        <x14:conditionalFormatting xmlns:xm="http://schemas.microsoft.com/office/excel/2006/main">
          <x14:cfRule type="expression" priority="90" id="{3D18E99C-1DF0-4D53-B885-0F2700F3B5A5}">
            <xm:f>AND($B$1=2,'Broker Actual'!E71="-")</xm:f>
            <x14:dxf>
              <font>
                <color rgb="FF00B050"/>
              </font>
            </x14:dxf>
          </x14:cfRule>
          <xm:sqref>B241:L241</xm:sqref>
        </x14:conditionalFormatting>
        <x14:conditionalFormatting xmlns:xm="http://schemas.microsoft.com/office/excel/2006/main">
          <x14:cfRule type="expression" priority="72" id="{4F70C145-C094-487C-A122-6C80C81B2AAC}">
            <xm:f>AND($B$1=2,'Broker Actual'!E72="-")</xm:f>
            <x14:dxf>
              <font>
                <color rgb="FF00B050"/>
              </font>
            </x14:dxf>
          </x14:cfRule>
          <xm:sqref>B243:L246 B249:L252</xm:sqref>
        </x14:conditionalFormatting>
        <x14:conditionalFormatting xmlns:xm="http://schemas.microsoft.com/office/excel/2006/main">
          <x14:cfRule type="expression" priority="129" id="{D2B6FA96-2CA5-4B8D-8300-62459C899E67}">
            <xm:f>AND($B$1=2,'Broker Actual'!E38="-")</xm:f>
            <x14:dxf>
              <font>
                <color rgb="FF00B050"/>
              </font>
            </x14:dxf>
          </x14:cfRule>
          <xm:sqref>M166 B166:L170 B172:L174</xm:sqref>
        </x14:conditionalFormatting>
      </x14:conditionalFormatting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9390C4-2C8E-40DE-AA14-52967A4BF11F}">
  <dimension ref="A1:AV267"/>
  <sheetViews>
    <sheetView showGridLines="0" zoomScale="80" zoomScaleNormal="80" workbookViewId="0">
      <pane xSplit="1" ySplit="7" topLeftCell="B8" activePane="bottomRight" state="frozen"/>
      <selection pane="topRight" activeCell="E1" sqref="E1"/>
      <selection pane="bottomLeft" activeCell="A8" sqref="A8"/>
      <selection pane="bottomRight" activeCell="B8" sqref="B8"/>
    </sheetView>
  </sheetViews>
  <sheetFormatPr defaultColWidth="10.140625" defaultRowHeight="16.5" outlineLevelRow="2" outlineLevelCol="2" x14ac:dyDescent="0.3"/>
  <cols>
    <col min="1" max="1" width="74.85546875" style="79" bestFit="1" customWidth="1"/>
    <col min="2" max="2" width="11.85546875" style="76" customWidth="1"/>
    <col min="3" max="4" width="10.85546875" style="76" bestFit="1" customWidth="1"/>
    <col min="5" max="7" width="12" style="76" bestFit="1" customWidth="1"/>
    <col min="8" max="11" width="12.85546875" style="76" bestFit="1" customWidth="1"/>
    <col min="12" max="12" width="13" style="76" customWidth="1"/>
    <col min="13" max="13" width="10.85546875" style="76" bestFit="1" customWidth="1"/>
    <col min="14" max="15" width="9.85546875" style="76" customWidth="1"/>
    <col min="16" max="17" width="9.85546875" style="76" hidden="1" customWidth="1" outlineLevel="1"/>
    <col min="18" max="22" width="12" style="76" hidden="1" customWidth="1" outlineLevel="1"/>
    <col min="23" max="23" width="25.140625" style="122" customWidth="1" collapsed="1"/>
    <col min="24" max="24" width="16.140625" style="78" customWidth="1" outlineLevel="2"/>
    <col min="25" max="25" width="21" style="76" customWidth="1" outlineLevel="2"/>
    <col min="26" max="28" width="12" style="76" customWidth="1" outlineLevel="1"/>
    <col min="29" max="29" width="6.85546875" style="79" customWidth="1" outlineLevel="1"/>
    <col min="30" max="30" width="12" style="76" customWidth="1" outlineLevel="1"/>
    <col min="31" max="31" width="4.140625" style="76" customWidth="1" outlineLevel="1"/>
    <col min="32" max="32" width="10.140625" style="79" customWidth="1" outlineLevel="1"/>
    <col min="33" max="34" width="14.85546875" style="79" customWidth="1" outlineLevel="1"/>
    <col min="35" max="16384" width="10.140625" style="79"/>
  </cols>
  <sheetData>
    <row r="1" spans="1:34" ht="27" customHeight="1" x14ac:dyDescent="0.3">
      <c r="A1" s="71" t="s">
        <v>21</v>
      </c>
      <c r="B1" s="72">
        <v>2</v>
      </c>
      <c r="C1" s="73">
        <v>1</v>
      </c>
      <c r="D1" s="72">
        <v>2</v>
      </c>
      <c r="E1" s="74" t="s">
        <v>22</v>
      </c>
      <c r="F1" s="75" t="s">
        <v>23</v>
      </c>
      <c r="G1" s="75" t="s">
        <v>24</v>
      </c>
      <c r="W1" s="77" t="s">
        <v>25</v>
      </c>
      <c r="AF1" s="76"/>
      <c r="AH1" s="80" t="s">
        <v>26</v>
      </c>
    </row>
    <row r="2" spans="1:34" s="85" customFormat="1" x14ac:dyDescent="0.3">
      <c r="A2" s="81" t="s">
        <v>27</v>
      </c>
      <c r="B2" s="82" t="str">
        <f>CHOOSE(B1,"GAAP/IFRS","Broker Actual")</f>
        <v>Broker Actual</v>
      </c>
      <c r="C2" s="82" t="str">
        <f>CHOOSE(C1,AG3,AH3)</f>
        <v>Incl. restate</v>
      </c>
      <c r="D2" s="82" t="str">
        <f>CHOOSE(D1,AG2,AH2)</f>
        <v>Median</v>
      </c>
      <c r="E2" s="82" t="s">
        <v>17</v>
      </c>
      <c r="F2" s="83" t="s">
        <v>28</v>
      </c>
      <c r="G2" s="84" t="s">
        <v>29</v>
      </c>
      <c r="J2" s="86" t="s">
        <v>30</v>
      </c>
      <c r="W2" s="87"/>
      <c r="X2" s="88"/>
      <c r="AA2" s="85" t="s">
        <v>17</v>
      </c>
      <c r="AG2" s="89" t="s">
        <v>31</v>
      </c>
      <c r="AH2" s="89" t="s">
        <v>32</v>
      </c>
    </row>
    <row r="3" spans="1:34" x14ac:dyDescent="0.3">
      <c r="A3" s="90" t="s">
        <v>33</v>
      </c>
      <c r="B3" s="91"/>
      <c r="D3" s="92"/>
      <c r="F3" s="93" t="s">
        <v>34</v>
      </c>
      <c r="G3" s="93" t="s">
        <v>35</v>
      </c>
      <c r="H3" s="79"/>
      <c r="W3" s="94"/>
      <c r="AG3" s="95" t="s">
        <v>36</v>
      </c>
      <c r="AH3" s="95" t="s">
        <v>37</v>
      </c>
    </row>
    <row r="4" spans="1:34" x14ac:dyDescent="0.3">
      <c r="A4" s="96" t="str">
        <f>"Financial Statements Summary - "&amp; _xll.FDSC("-",ALLFINSTAT_RWIdentifier,"FG_COMPANY_NAME")&amp;" ("&amp;UPPER(ALLFINSTAT_RWIdentifier)&amp;")"</f>
        <v>Financial Statements Summary - HCI Group, Inc. (HCI)</v>
      </c>
      <c r="B4" s="97"/>
      <c r="C4" s="97"/>
      <c r="D4" s="97"/>
      <c r="E4" s="97"/>
      <c r="F4" s="78" t="s">
        <v>38</v>
      </c>
      <c r="G4" s="78" t="s">
        <v>39</v>
      </c>
      <c r="H4" s="79"/>
      <c r="I4" s="79"/>
      <c r="W4" s="94"/>
      <c r="AG4" s="95" t="s">
        <v>40</v>
      </c>
      <c r="AH4" s="95" t="s">
        <v>41</v>
      </c>
    </row>
    <row r="5" spans="1:34" s="102" customFormat="1" x14ac:dyDescent="0.3">
      <c r="A5" s="98"/>
      <c r="B5" s="99"/>
      <c r="C5" s="99"/>
      <c r="D5" s="99"/>
      <c r="E5" s="99"/>
      <c r="F5" s="99"/>
      <c r="G5" s="99"/>
      <c r="H5" s="99"/>
      <c r="I5" s="99"/>
      <c r="J5" s="99"/>
      <c r="K5" s="99"/>
      <c r="L5" s="99"/>
      <c r="M5" s="99"/>
      <c r="N5" s="99"/>
      <c r="O5" s="99"/>
      <c r="P5" s="99"/>
      <c r="Q5" s="99"/>
      <c r="R5" s="99"/>
      <c r="S5" s="99"/>
      <c r="T5" s="99"/>
      <c r="U5" s="99"/>
      <c r="V5" s="99"/>
      <c r="W5" s="100"/>
      <c r="X5" s="101"/>
      <c r="Y5" s="99"/>
      <c r="Z5" s="99"/>
      <c r="AA5" s="99"/>
      <c r="AB5" s="99"/>
      <c r="AD5" s="99"/>
      <c r="AE5" s="103"/>
    </row>
    <row r="6" spans="1:34" x14ac:dyDescent="0.3">
      <c r="A6" s="104" t="s">
        <v>42</v>
      </c>
      <c r="B6" s="105" t="s">
        <v>43</v>
      </c>
      <c r="C6" s="105" t="s">
        <v>44</v>
      </c>
      <c r="D6" s="105" t="s">
        <v>45</v>
      </c>
      <c r="E6" s="105" t="s">
        <v>46</v>
      </c>
      <c r="F6" s="105" t="s">
        <v>47</v>
      </c>
      <c r="G6" s="105" t="s">
        <v>48</v>
      </c>
      <c r="H6" s="105" t="s">
        <v>49</v>
      </c>
      <c r="I6" s="105" t="s">
        <v>50</v>
      </c>
      <c r="J6" s="105" t="s">
        <v>51</v>
      </c>
      <c r="K6" s="105" t="s">
        <v>52</v>
      </c>
      <c r="L6" s="105" t="s">
        <v>53</v>
      </c>
      <c r="M6" s="105" t="s">
        <v>54</v>
      </c>
      <c r="N6" s="105" t="s">
        <v>55</v>
      </c>
      <c r="O6" s="105" t="s">
        <v>56</v>
      </c>
      <c r="P6" s="105" t="s">
        <v>57</v>
      </c>
      <c r="Q6" s="105" t="s">
        <v>58</v>
      </c>
      <c r="R6" s="105"/>
      <c r="S6" s="105"/>
      <c r="T6" s="105"/>
      <c r="U6" s="105"/>
      <c r="V6" s="105"/>
      <c r="W6" s="106"/>
      <c r="X6" s="107" t="s">
        <v>59</v>
      </c>
      <c r="Y6" s="107" t="s">
        <v>60</v>
      </c>
      <c r="Z6" s="105" t="s">
        <v>54</v>
      </c>
      <c r="AA6" s="105" t="s">
        <v>55</v>
      </c>
      <c r="AB6" s="105" t="s">
        <v>56</v>
      </c>
      <c r="AC6" s="108"/>
      <c r="AD6" s="108"/>
      <c r="AE6" s="108"/>
    </row>
    <row r="7" spans="1:34" x14ac:dyDescent="0.3">
      <c r="A7" s="79" t="s">
        <v>61</v>
      </c>
      <c r="B7" s="109" t="str" cm="1">
        <f t="array" ref="B7">_xll.FDSRC("-",$A$1,"CONVERT_DATE(FF_FISCAL_DATE(ANN_R,"&amp;B$6&amp;","&amp;B$6&amp;",,,"""",""DATEJ""),""MM/YYYY"")")</f>
        <v>12/2012</v>
      </c>
      <c r="C7" s="109" t="str" cm="1">
        <f t="array" ref="C7">_xll.FDSRC("-",$A$1,"CONVERT_DATE(FF_FISCAL_DATE(ANN_R,"&amp;C$6&amp;","&amp;C$6&amp;",,,"""",""DATEJ""),""MM/YYYY"")")</f>
        <v>12/2013</v>
      </c>
      <c r="D7" s="109" t="str" cm="1">
        <f t="array" ref="D7">_xll.FDSRC("-",$A$1,"CONVERT_DATE(FF_FISCAL_DATE(ANN_R,"&amp;D$6&amp;","&amp;D$6&amp;",,,"""",""DATEJ""),""MM/YYYY"")")</f>
        <v>12/2014</v>
      </c>
      <c r="E7" s="109" t="str" cm="1">
        <f t="array" ref="E7">_xll.FDSRC("-",$A$1,"CONVERT_DATE(FF_FISCAL_DATE(ANN_R,"&amp;E$6&amp;","&amp;E$6&amp;",,,"""",""DATEJ""),""MM/YYYY"")")</f>
        <v>12/2015</v>
      </c>
      <c r="F7" s="109" t="str" cm="1">
        <f t="array" ref="F7">_xll.FDSRC("-",$A$1,"CONVERT_DATE(FF_FISCAL_DATE(ANN_R,"&amp;F$6&amp;","&amp;F$6&amp;",,,"""",""DATEJ""),""MM/YYYY"")")</f>
        <v>12/2016</v>
      </c>
      <c r="G7" s="109" t="str" cm="1">
        <f t="array" ref="G7">_xll.FDSRC("-",$A$1,"CONVERT_DATE(FF_FISCAL_DATE(ANN_R,"&amp;G$6&amp;","&amp;G$6&amp;",,,"""",""DATEJ""),""MM/YYYY"")")</f>
        <v>12/2017</v>
      </c>
      <c r="H7" s="109" t="str" cm="1">
        <f t="array" ref="H7">_xll.FDSRC("-",$A$1,"CONVERT_DATE(FF_FISCAL_DATE(ANN_R,"&amp;H$6&amp;","&amp;H$6&amp;",,,"""",""DATEJ""),""MM/YYYY"")")</f>
        <v>12/2018</v>
      </c>
      <c r="I7" s="109" t="str" cm="1">
        <f t="array" ref="I7">_xll.FDSRC("-",$A$1,"CONVERT_DATE(FF_FISCAL_DATE(ANN_R,"&amp;I$6&amp;","&amp;I$6&amp;",,,"""",""DATEJ""),""MM/YYYY"")")</f>
        <v>12/2019</v>
      </c>
      <c r="J7" s="109" t="str" cm="1">
        <f t="array" ref="J7">_xll.FDSRC("-",$A$1,"CONVERT_DATE(FF_FISCAL_DATE(ANN_R,"&amp;J$6&amp;","&amp;J$6&amp;",,,"""",""DATEJ""),""MM/YYYY"")")</f>
        <v>12/2020</v>
      </c>
      <c r="K7" s="109" t="str" cm="1">
        <f t="array" ref="K7">_xll.FDSRC("-",$A$1,"CONVERT_DATE(FF_FISCAL_DATE(ANN_R,"&amp;K$6&amp;","&amp;K$6&amp;",,,"""",""DATEJ""),""MM/YYYY"")")</f>
        <v>12/2021</v>
      </c>
      <c r="L7" s="109" t="str" cm="1">
        <f t="array" ref="L7">_xll.FDSRC("-",$A$1,"CONVERT_DATE(FF_FISCAL_DATE(ANN_R,"&amp;L$6&amp;","&amp;L$6&amp;",,,"""",""DATEJ""),""MM/YYYY"")")</f>
        <v>12/2022</v>
      </c>
      <c r="M7" s="110">
        <v>45261</v>
      </c>
      <c r="N7" s="110">
        <v>45627</v>
      </c>
      <c r="O7" s="110">
        <v>45992</v>
      </c>
      <c r="P7" s="110">
        <v>46357</v>
      </c>
      <c r="Q7" s="110">
        <v>46722</v>
      </c>
      <c r="R7" s="111"/>
      <c r="S7" s="111"/>
      <c r="T7" s="111"/>
      <c r="U7" s="111"/>
      <c r="V7" s="111"/>
      <c r="W7" s="112"/>
      <c r="X7" s="113"/>
      <c r="Y7" s="114"/>
      <c r="Z7" s="115" t="str" cm="1">
        <f t="array" ref="Z7">_xll.FDSC("",$A$1,"FE_ACTUAL_DATE(FISCALPERIODEND,,ANNUAL,1,'MM/YYYY')")</f>
        <v>12/2023</v>
      </c>
      <c r="AA7" s="115" t="str" cm="1">
        <f t="array" ref="AA7">_xll.FDSC("",$A$1,"FE_ACTUAL_DATE(FISCALPERIODEND,,ANNUAL,2,'MM/YYYY')")</f>
        <v>12/2024</v>
      </c>
      <c r="AB7" s="115" t="str" cm="1">
        <f t="array" ref="AB7">_xll.FDSC("",$A$1,"FE_ACTUAL_DATE(FISCALPERIODEND,,ANNUAL,3,'MM/YYYY')")</f>
        <v>12/2025</v>
      </c>
      <c r="AC7" s="116"/>
      <c r="AD7" s="115"/>
      <c r="AE7" s="117"/>
    </row>
    <row r="8" spans="1:34" x14ac:dyDescent="0.3">
      <c r="A8" s="118" t="s">
        <v>62</v>
      </c>
      <c r="B8" s="109"/>
      <c r="C8" s="109"/>
      <c r="D8" s="109"/>
      <c r="E8" s="109"/>
      <c r="F8" s="109"/>
      <c r="G8" s="109"/>
      <c r="H8" s="109"/>
      <c r="I8" s="109"/>
      <c r="J8" s="109"/>
      <c r="K8" s="109"/>
      <c r="L8" s="109"/>
      <c r="M8" s="110"/>
      <c r="N8" s="110"/>
      <c r="O8" s="109"/>
      <c r="P8" s="109"/>
      <c r="Q8" s="109"/>
      <c r="R8" s="111"/>
      <c r="S8" s="111"/>
      <c r="T8" s="111"/>
      <c r="U8" s="111"/>
      <c r="V8" s="111"/>
      <c r="W8" s="112"/>
      <c r="X8" s="113"/>
      <c r="Y8" s="114"/>
      <c r="Z8" s="115"/>
      <c r="AA8" s="115"/>
      <c r="AB8" s="115"/>
      <c r="AC8" s="116"/>
      <c r="AD8" s="115"/>
      <c r="AE8" s="117"/>
    </row>
    <row r="9" spans="1:34" x14ac:dyDescent="0.3">
      <c r="A9" s="119" t="s">
        <v>63</v>
      </c>
      <c r="B9" s="120"/>
      <c r="C9" s="120"/>
      <c r="D9" s="120"/>
      <c r="E9" s="120"/>
      <c r="F9" s="120"/>
      <c r="G9" s="120"/>
      <c r="H9" s="120"/>
      <c r="I9" s="120"/>
      <c r="J9" s="120"/>
      <c r="K9" s="120"/>
      <c r="L9" s="120"/>
      <c r="M9" s="120"/>
      <c r="N9" s="120"/>
      <c r="O9" s="121"/>
      <c r="P9" s="121"/>
      <c r="Q9" s="121"/>
      <c r="R9" s="121"/>
      <c r="S9" s="121"/>
      <c r="T9" s="121"/>
      <c r="U9" s="121"/>
      <c r="V9" s="121"/>
      <c r="AC9" s="76"/>
    </row>
    <row r="10" spans="1:34" x14ac:dyDescent="0.3">
      <c r="A10" s="196" t="s">
        <v>64</v>
      </c>
      <c r="B10" s="76" t="s">
        <v>65</v>
      </c>
      <c r="C10" s="76" t="s">
        <v>66</v>
      </c>
      <c r="D10" s="76" t="s">
        <v>67</v>
      </c>
      <c r="E10" s="76" t="s">
        <v>68</v>
      </c>
      <c r="F10" s="76" t="s">
        <v>69</v>
      </c>
      <c r="G10" s="76" t="s">
        <v>70</v>
      </c>
      <c r="H10" s="76" t="s">
        <v>71</v>
      </c>
      <c r="I10" s="76" t="s">
        <v>72</v>
      </c>
      <c r="J10" s="76" t="s">
        <v>73</v>
      </c>
      <c r="K10" s="76" t="s">
        <v>74</v>
      </c>
      <c r="L10" s="76" t="s">
        <v>75</v>
      </c>
      <c r="M10"/>
      <c r="N10"/>
      <c r="O10"/>
      <c r="P10"/>
      <c r="Q10"/>
    </row>
    <row r="11" spans="1:34" outlineLevel="2" x14ac:dyDescent="0.3">
      <c r="A11" s="198" t="s">
        <v>76</v>
      </c>
      <c r="B11" s="199">
        <v>110000</v>
      </c>
      <c r="C11" s="199">
        <v>160000</v>
      </c>
      <c r="D11" s="199">
        <v>175000</v>
      </c>
      <c r="E11" s="199">
        <v>160000</v>
      </c>
      <c r="F11" s="199">
        <v>150000</v>
      </c>
      <c r="G11" s="199">
        <v>139000</v>
      </c>
      <c r="H11" s="199">
        <v>127000</v>
      </c>
      <c r="I11" s="199">
        <v>131000</v>
      </c>
      <c r="J11" s="199">
        <v>154000</v>
      </c>
      <c r="K11" s="199">
        <v>180700</v>
      </c>
      <c r="L11" s="199">
        <v>210400</v>
      </c>
      <c r="M11" s="206">
        <f>L11*(1+M12)</f>
        <v>223024</v>
      </c>
      <c r="N11" s="206">
        <f t="shared" ref="N11:Q11" si="0">M11*(1+N12)</f>
        <v>256477.59999999998</v>
      </c>
      <c r="O11" s="206">
        <f t="shared" si="0"/>
        <v>274431.03200000001</v>
      </c>
      <c r="P11" s="206">
        <f t="shared" si="0"/>
        <v>288152.58360000001</v>
      </c>
      <c r="Q11" s="206">
        <f t="shared" si="0"/>
        <v>302560.21278</v>
      </c>
      <c r="R11" s="124"/>
      <c r="S11" s="124"/>
      <c r="T11" s="124"/>
      <c r="U11" s="124"/>
      <c r="V11" s="124"/>
      <c r="W11" s="125"/>
      <c r="X11" s="126"/>
      <c r="Y11" s="126"/>
      <c r="Z11" s="124"/>
      <c r="AA11" s="124"/>
      <c r="AB11" s="124"/>
      <c r="AC11" s="124"/>
      <c r="AD11" s="124"/>
      <c r="AE11" s="127"/>
    </row>
    <row r="12" spans="1:34" outlineLevel="2" x14ac:dyDescent="0.3">
      <c r="A12" s="200" t="s">
        <v>77</v>
      </c>
      <c r="B12" s="199"/>
      <c r="C12" s="201">
        <f>C11/B11-1</f>
        <v>0.45454545454545459</v>
      </c>
      <c r="D12" s="201">
        <f t="shared" ref="D12:L12" si="1">D11/C11-1</f>
        <v>9.375E-2</v>
      </c>
      <c r="E12" s="201">
        <f t="shared" si="1"/>
        <v>-8.5714285714285743E-2</v>
      </c>
      <c r="F12" s="201">
        <f t="shared" si="1"/>
        <v>-6.25E-2</v>
      </c>
      <c r="G12" s="201">
        <f t="shared" si="1"/>
        <v>-7.3333333333333361E-2</v>
      </c>
      <c r="H12" s="201">
        <f t="shared" si="1"/>
        <v>-8.633093525179858E-2</v>
      </c>
      <c r="I12" s="201">
        <f t="shared" si="1"/>
        <v>3.1496062992125928E-2</v>
      </c>
      <c r="J12" s="201">
        <f t="shared" si="1"/>
        <v>0.17557251908396942</v>
      </c>
      <c r="K12" s="201">
        <f t="shared" si="1"/>
        <v>0.17337662337662341</v>
      </c>
      <c r="L12" s="201">
        <f t="shared" si="1"/>
        <v>0.164360819037078</v>
      </c>
      <c r="M12" s="210">
        <v>0.06</v>
      </c>
      <c r="N12" s="210">
        <v>0.15</v>
      </c>
      <c r="O12" s="210">
        <v>7.0000000000000007E-2</v>
      </c>
      <c r="P12" s="210">
        <v>0.05</v>
      </c>
      <c r="Q12" s="210">
        <v>0.05</v>
      </c>
      <c r="R12" s="124"/>
      <c r="S12" s="124"/>
      <c r="T12" s="124"/>
      <c r="U12" s="124"/>
      <c r="V12" s="124"/>
      <c r="W12" s="125"/>
      <c r="X12" s="126"/>
      <c r="Y12" s="126"/>
      <c r="Z12" s="124"/>
      <c r="AA12" s="124"/>
      <c r="AB12" s="124"/>
      <c r="AC12" s="124"/>
      <c r="AD12" s="124"/>
      <c r="AE12" s="127"/>
    </row>
    <row r="13" spans="1:34" outlineLevel="2" x14ac:dyDescent="0.3">
      <c r="A13" s="198" t="s">
        <v>78</v>
      </c>
      <c r="B13" s="241">
        <f>(B18/B11)*1000000</f>
        <v>2127.272727272727</v>
      </c>
      <c r="C13" s="241">
        <f t="shared" ref="C13:Q13" si="2">(C18/C11)*1000000</f>
        <v>2106.25</v>
      </c>
      <c r="D13" s="241">
        <f t="shared" si="2"/>
        <v>2085.7142857142858</v>
      </c>
      <c r="E13" s="241">
        <f t="shared" si="2"/>
        <v>2644.5</v>
      </c>
      <c r="F13" s="241">
        <f t="shared" si="2"/>
        <v>2524.52</v>
      </c>
      <c r="G13" s="241">
        <f t="shared" si="2"/>
        <v>2577.3597122302162</v>
      </c>
      <c r="H13" s="241">
        <f t="shared" si="2"/>
        <v>2701.2992125984251</v>
      </c>
      <c r="I13" s="241">
        <f t="shared" si="2"/>
        <v>2611.290076335878</v>
      </c>
      <c r="J13" s="241">
        <f t="shared" si="2"/>
        <v>2700.7662337662337</v>
      </c>
      <c r="K13" s="241">
        <f t="shared" si="2"/>
        <v>3193.3812949640287</v>
      </c>
      <c r="L13" s="241">
        <f t="shared" si="2"/>
        <v>3444.4676806083648</v>
      </c>
      <c r="M13" s="204">
        <f>(M18/M11)*1000000</f>
        <v>3606.9425712030998</v>
      </c>
      <c r="N13" s="204">
        <f>(N18/N11)*1000000</f>
        <v>4140.1427773809501</v>
      </c>
      <c r="O13" s="204">
        <f>(O18/O11)*1000000</f>
        <v>4062.7569310747631</v>
      </c>
      <c r="P13" s="204">
        <f t="shared" si="2"/>
        <v>4256.2215468402283</v>
      </c>
      <c r="Q13" s="204">
        <f t="shared" si="2"/>
        <v>4458.8987633564302</v>
      </c>
      <c r="R13" s="124"/>
      <c r="S13" s="124"/>
      <c r="T13" s="124"/>
      <c r="U13" s="124"/>
      <c r="V13" s="124"/>
      <c r="W13" s="125"/>
      <c r="X13" s="126"/>
      <c r="Y13" s="126"/>
      <c r="Z13" s="124"/>
      <c r="AA13" s="124"/>
      <c r="AB13" s="124"/>
      <c r="AC13" s="124"/>
      <c r="AD13" s="124"/>
      <c r="AE13" s="127"/>
    </row>
    <row r="14" spans="1:34" outlineLevel="2" x14ac:dyDescent="0.3">
      <c r="A14" s="200" t="s">
        <v>77</v>
      </c>
      <c r="B14" s="199"/>
      <c r="C14" s="201">
        <f>C13/B13-1</f>
        <v>-9.8824786324784863E-3</v>
      </c>
      <c r="D14" s="201">
        <f t="shared" ref="D14:L14" si="3">D13/C13-1</f>
        <v>-9.7498940228910591E-3</v>
      </c>
      <c r="E14" s="201">
        <f t="shared" si="3"/>
        <v>0.26791095890410954</v>
      </c>
      <c r="F14" s="201">
        <f t="shared" si="3"/>
        <v>-4.5369635091699778E-2</v>
      </c>
      <c r="G14" s="201">
        <f t="shared" si="3"/>
        <v>2.0930597590914868E-2</v>
      </c>
      <c r="H14" s="201">
        <f t="shared" si="3"/>
        <v>4.8087777495739115E-2</v>
      </c>
      <c r="I14" s="201">
        <f t="shared" si="3"/>
        <v>-3.3320683559510567E-2</v>
      </c>
      <c r="J14" s="201">
        <f t="shared" si="3"/>
        <v>3.4265116021084507E-2</v>
      </c>
      <c r="K14" s="201">
        <f t="shared" si="3"/>
        <v>0.18239825981193514</v>
      </c>
      <c r="L14" s="201">
        <f t="shared" si="3"/>
        <v>7.862712355718382E-2</v>
      </c>
      <c r="M14" s="242">
        <f>M13/L13-1</f>
        <v>4.7169811320754818E-2</v>
      </c>
      <c r="N14" s="54">
        <f>N13/M13-1</f>
        <v>0.147826086956522</v>
      </c>
      <c r="O14" s="240">
        <f t="shared" ref="O14:Q14" si="4">O13/N13-1</f>
        <v>-1.8691588785046953E-2</v>
      </c>
      <c r="P14" s="240">
        <f t="shared" si="4"/>
        <v>4.7619047619047672E-2</v>
      </c>
      <c r="Q14" s="240">
        <f t="shared" si="4"/>
        <v>4.7619047619047672E-2</v>
      </c>
      <c r="R14" s="124"/>
      <c r="S14" s="124"/>
      <c r="T14" s="124"/>
      <c r="U14" s="124"/>
      <c r="V14" s="124"/>
      <c r="W14" s="125"/>
      <c r="X14" s="126"/>
      <c r="Y14" s="126"/>
      <c r="Z14" s="124"/>
      <c r="AA14" s="124"/>
      <c r="AB14" s="124"/>
      <c r="AC14" s="124"/>
      <c r="AD14" s="124"/>
      <c r="AE14" s="127"/>
    </row>
    <row r="15" spans="1:34" outlineLevel="2" x14ac:dyDescent="0.3">
      <c r="A15" s="198" t="s">
        <v>79</v>
      </c>
      <c r="B15" s="241">
        <f>(B23/B11)*1000000</f>
        <v>1432.7272727272725</v>
      </c>
      <c r="C15" s="241">
        <f t="shared" ref="C15:Q15" si="5">(C23/C11)*1000000</f>
        <v>1463.75</v>
      </c>
      <c r="D15" s="241">
        <f t="shared" si="5"/>
        <v>1440.5714285714287</v>
      </c>
      <c r="E15" s="241">
        <f t="shared" si="5"/>
        <v>1765.625</v>
      </c>
      <c r="F15" s="241">
        <f t="shared" si="5"/>
        <v>1624</v>
      </c>
      <c r="G15" s="241">
        <f t="shared" si="5"/>
        <v>1615.8273381294964</v>
      </c>
      <c r="H15" s="241">
        <f t="shared" si="5"/>
        <v>1680.3149606299214</v>
      </c>
      <c r="I15" s="241">
        <f t="shared" si="5"/>
        <v>1651.145038167939</v>
      </c>
      <c r="J15" s="241">
        <f t="shared" si="5"/>
        <v>1704.5454545454545</v>
      </c>
      <c r="K15" s="241">
        <f t="shared" si="5"/>
        <v>2087.9911455451024</v>
      </c>
      <c r="L15" s="241">
        <f t="shared" si="5"/>
        <v>2203.4220532319391</v>
      </c>
      <c r="M15" s="204">
        <f>(M23/M11)*1000000</f>
        <v>2308.4432455699839</v>
      </c>
      <c r="N15" s="204">
        <f t="shared" si="5"/>
        <v>2649.6913775238077</v>
      </c>
      <c r="O15" s="204">
        <f t="shared" si="5"/>
        <v>2600.1644358878489</v>
      </c>
      <c r="P15" s="204">
        <f t="shared" si="5"/>
        <v>2681.4195745093439</v>
      </c>
      <c r="Q15" s="204">
        <f t="shared" si="5"/>
        <v>2809.1062209145516</v>
      </c>
      <c r="R15" s="124"/>
      <c r="S15" s="124"/>
      <c r="T15" s="124"/>
      <c r="U15" s="124"/>
      <c r="V15" s="124"/>
      <c r="W15" s="125"/>
      <c r="X15" s="126"/>
      <c r="Y15" s="126"/>
      <c r="Z15" s="124"/>
      <c r="AA15" s="124"/>
      <c r="AB15" s="124"/>
      <c r="AC15" s="124"/>
      <c r="AD15" s="124"/>
      <c r="AE15" s="127"/>
    </row>
    <row r="16" spans="1:34" outlineLevel="2" x14ac:dyDescent="0.3">
      <c r="A16" s="200" t="s">
        <v>77</v>
      </c>
      <c r="B16" s="199"/>
      <c r="C16" s="201">
        <f>C15/B15-1</f>
        <v>2.1652918781726038E-2</v>
      </c>
      <c r="D16" s="201">
        <f t="shared" ref="D16:L16" si="6">D15/C15-1</f>
        <v>-1.5835061607905265E-2</v>
      </c>
      <c r="E16" s="201">
        <f t="shared" si="6"/>
        <v>0.22564210630702086</v>
      </c>
      <c r="F16" s="201">
        <f t="shared" si="6"/>
        <v>-8.0212389380530991E-2</v>
      </c>
      <c r="G16" s="201">
        <f t="shared" si="6"/>
        <v>-5.0324272601622866E-3</v>
      </c>
      <c r="H16" s="201">
        <f t="shared" si="6"/>
        <v>3.9909971182364501E-2</v>
      </c>
      <c r="I16" s="201">
        <f t="shared" si="6"/>
        <v>-1.7359794529858363E-2</v>
      </c>
      <c r="J16" s="201">
        <f t="shared" si="6"/>
        <v>3.2341444962804111E-2</v>
      </c>
      <c r="K16" s="201">
        <f t="shared" si="6"/>
        <v>0.22495480538646007</v>
      </c>
      <c r="L16" s="201">
        <f t="shared" si="6"/>
        <v>5.5283236201991492E-2</v>
      </c>
      <c r="M16" s="240">
        <f>M15/L15-1</f>
        <v>4.7662767187067745E-2</v>
      </c>
      <c r="N16" s="240">
        <f>N15/M15-1</f>
        <v>0.14782608695652177</v>
      </c>
      <c r="O16" s="240">
        <f t="shared" ref="O16:Q16" si="7">O15/N15-1</f>
        <v>-1.869158878504662E-2</v>
      </c>
      <c r="P16" s="240">
        <f t="shared" si="7"/>
        <v>3.125E-2</v>
      </c>
      <c r="Q16" s="240">
        <f t="shared" si="7"/>
        <v>4.7619047619047894E-2</v>
      </c>
      <c r="R16" s="124"/>
      <c r="S16" s="124"/>
      <c r="T16" s="124"/>
      <c r="U16" s="124"/>
      <c r="V16" s="124"/>
      <c r="W16" s="125"/>
      <c r="X16" s="126"/>
      <c r="Y16" s="126"/>
      <c r="Z16" s="124"/>
      <c r="AA16" s="124"/>
      <c r="AB16" s="124"/>
      <c r="AC16" s="124"/>
      <c r="AD16" s="124"/>
      <c r="AE16" s="127"/>
    </row>
    <row r="17" spans="1:48" outlineLevel="2" x14ac:dyDescent="0.3">
      <c r="A17" s="200"/>
      <c r="B17" s="199"/>
      <c r="C17" s="201"/>
      <c r="D17" s="201"/>
      <c r="E17" s="201"/>
      <c r="F17" s="201"/>
      <c r="G17" s="201"/>
      <c r="H17" s="201"/>
      <c r="I17" s="201"/>
      <c r="J17" s="201"/>
      <c r="K17" s="201"/>
      <c r="L17" s="201"/>
      <c r="M17" s="240"/>
      <c r="N17" s="240"/>
      <c r="O17" s="240"/>
      <c r="P17" s="240"/>
      <c r="Q17" s="240"/>
      <c r="R17" s="124"/>
      <c r="S17" s="124"/>
      <c r="T17" s="124"/>
      <c r="U17" s="124"/>
      <c r="V17" s="124"/>
      <c r="W17" s="125"/>
      <c r="X17" s="126"/>
      <c r="Y17" s="126"/>
      <c r="Z17" s="124"/>
      <c r="AA17" s="124"/>
      <c r="AB17" s="124"/>
      <c r="AC17" s="124"/>
      <c r="AD17" s="124"/>
      <c r="AE17" s="127"/>
    </row>
    <row r="18" spans="1:48" outlineLevel="2" x14ac:dyDescent="0.3">
      <c r="A18" s="198" t="s">
        <v>80</v>
      </c>
      <c r="B18" s="202">
        <v>234</v>
      </c>
      <c r="C18" s="202">
        <v>337</v>
      </c>
      <c r="D18" s="202">
        <v>365</v>
      </c>
      <c r="E18" s="202">
        <v>423.12</v>
      </c>
      <c r="F18" s="202">
        <v>378.678</v>
      </c>
      <c r="G18" s="202">
        <v>358.25300000000004</v>
      </c>
      <c r="H18" s="202">
        <v>343.065</v>
      </c>
      <c r="I18" s="202">
        <v>342.07900000000001</v>
      </c>
      <c r="J18" s="202">
        <v>415.91800000000001</v>
      </c>
      <c r="K18" s="202">
        <v>577.04399999999998</v>
      </c>
      <c r="L18" s="202">
        <v>724.71600000000001</v>
      </c>
      <c r="M18" s="204">
        <f>L18*(1+M19)</f>
        <v>804.4347600000001</v>
      </c>
      <c r="N18" s="204">
        <f>M18*(1+N19)</f>
        <v>1061.8538832000002</v>
      </c>
      <c r="O18" s="204">
        <f t="shared" ref="O18:Q18" si="8">N18*(1+O19)</f>
        <v>1114.9465773600002</v>
      </c>
      <c r="P18" s="204">
        <f t="shared" si="8"/>
        <v>1226.4412350960004</v>
      </c>
      <c r="Q18" s="204">
        <f t="shared" si="8"/>
        <v>1349.0853586056005</v>
      </c>
      <c r="R18" s="124"/>
      <c r="S18" s="124"/>
      <c r="T18" s="124"/>
      <c r="U18" s="124"/>
      <c r="V18" s="124"/>
      <c r="W18" s="125"/>
      <c r="X18" s="126"/>
      <c r="Y18" s="126"/>
      <c r="Z18" s="124"/>
      <c r="AA18" s="124"/>
      <c r="AB18" s="124"/>
      <c r="AC18" s="124"/>
      <c r="AD18" s="124"/>
      <c r="AE18" s="127"/>
    </row>
    <row r="19" spans="1:48" outlineLevel="2" x14ac:dyDescent="0.3">
      <c r="A19" s="200" t="s">
        <v>77</v>
      </c>
      <c r="B19" s="199"/>
      <c r="C19" s="201">
        <f>C18/B18-1</f>
        <v>0.44017094017094016</v>
      </c>
      <c r="D19" s="201">
        <f t="shared" ref="D19:L19" si="9">D18/C18-1</f>
        <v>8.308605341246289E-2</v>
      </c>
      <c r="E19" s="201">
        <f t="shared" si="9"/>
        <v>0.15923287671232877</v>
      </c>
      <c r="F19" s="201">
        <f t="shared" si="9"/>
        <v>-0.10503403289846858</v>
      </c>
      <c r="G19" s="201">
        <f t="shared" si="9"/>
        <v>-5.3937646232419034E-2</v>
      </c>
      <c r="H19" s="201">
        <f t="shared" si="9"/>
        <v>-4.2394620561446938E-2</v>
      </c>
      <c r="I19" s="201">
        <f t="shared" si="9"/>
        <v>-2.8740909157156658E-3</v>
      </c>
      <c r="J19" s="201">
        <f t="shared" si="9"/>
        <v>0.21585364784158045</v>
      </c>
      <c r="K19" s="201">
        <f t="shared" si="9"/>
        <v>0.38739847758452384</v>
      </c>
      <c r="L19" s="201">
        <f t="shared" si="9"/>
        <v>0.25591116102065015</v>
      </c>
      <c r="M19" s="210">
        <v>0.11</v>
      </c>
      <c r="N19" s="210">
        <v>0.32</v>
      </c>
      <c r="O19" s="210">
        <v>0.05</v>
      </c>
      <c r="P19" s="210">
        <v>0.1</v>
      </c>
      <c r="Q19" s="210">
        <v>0.1</v>
      </c>
      <c r="R19" s="124"/>
      <c r="S19" s="124"/>
      <c r="T19" s="124"/>
      <c r="U19" s="124"/>
      <c r="V19" s="124"/>
      <c r="W19" s="125"/>
      <c r="X19" s="126"/>
      <c r="Y19" s="126"/>
      <c r="Z19" s="124"/>
      <c r="AA19" s="124"/>
      <c r="AB19" s="124"/>
      <c r="AC19" s="124"/>
      <c r="AD19" s="124"/>
      <c r="AE19" s="127"/>
    </row>
    <row r="20" spans="1:48" outlineLevel="2" x14ac:dyDescent="0.3">
      <c r="A20" s="198" t="s">
        <v>81</v>
      </c>
      <c r="B20" s="202">
        <v>76.400000000000006</v>
      </c>
      <c r="C20" s="202">
        <v>102.80000000000001</v>
      </c>
      <c r="D20" s="202">
        <v>112.9</v>
      </c>
      <c r="E20" s="202">
        <v>140.62</v>
      </c>
      <c r="F20" s="202">
        <v>135.078</v>
      </c>
      <c r="G20" s="202">
        <v>133.65300000000005</v>
      </c>
      <c r="H20" s="202">
        <v>129.66499999999999</v>
      </c>
      <c r="I20" s="202">
        <v>125.779</v>
      </c>
      <c r="J20" s="202">
        <v>153.41800000000001</v>
      </c>
      <c r="K20" s="202">
        <v>199.74399999999997</v>
      </c>
      <c r="L20" s="202">
        <v>261.11599999999999</v>
      </c>
      <c r="M20" s="204">
        <f>M18*M22</f>
        <v>289.59651360000004</v>
      </c>
      <c r="N20" s="204">
        <f t="shared" ref="N20:Q20" si="10">N18*N22</f>
        <v>382.26739795200007</v>
      </c>
      <c r="O20" s="204">
        <f t="shared" si="10"/>
        <v>401.38076784960009</v>
      </c>
      <c r="P20" s="204">
        <f t="shared" si="10"/>
        <v>453.78325698552015</v>
      </c>
      <c r="Q20" s="204">
        <f t="shared" si="10"/>
        <v>499.16158268407219</v>
      </c>
      <c r="R20" s="124"/>
      <c r="S20" s="124"/>
      <c r="T20" s="124"/>
      <c r="U20" s="124"/>
      <c r="V20" s="124"/>
      <c r="W20" s="125"/>
      <c r="X20" s="126"/>
      <c r="Y20" s="126"/>
      <c r="Z20" s="124"/>
      <c r="AA20" s="124"/>
      <c r="AB20" s="124"/>
      <c r="AC20" s="124"/>
      <c r="AD20" s="124"/>
      <c r="AE20" s="127"/>
    </row>
    <row r="21" spans="1:48" outlineLevel="2" x14ac:dyDescent="0.3">
      <c r="A21" s="200" t="s">
        <v>77</v>
      </c>
      <c r="B21" s="199"/>
      <c r="C21" s="201">
        <f>C20/B20-1</f>
        <v>0.34554973821989532</v>
      </c>
      <c r="D21" s="201">
        <f t="shared" ref="D21:Q21" si="11">D20/C20-1</f>
        <v>9.8249027237353959E-2</v>
      </c>
      <c r="E21" s="201">
        <f t="shared" si="11"/>
        <v>0.24552701505757302</v>
      </c>
      <c r="F21" s="201">
        <f t="shared" si="11"/>
        <v>-3.9411179064144486E-2</v>
      </c>
      <c r="G21" s="201">
        <f t="shared" si="11"/>
        <v>-1.054946031181947E-2</v>
      </c>
      <c r="H21" s="201">
        <f t="shared" si="11"/>
        <v>-2.9838462286668088E-2</v>
      </c>
      <c r="I21" s="201">
        <f t="shared" si="11"/>
        <v>-2.9969536883507453E-2</v>
      </c>
      <c r="J21" s="201">
        <f t="shared" si="11"/>
        <v>0.21974256433903916</v>
      </c>
      <c r="K21" s="201">
        <f t="shared" si="11"/>
        <v>0.30195935287906228</v>
      </c>
      <c r="L21" s="201">
        <f t="shared" si="11"/>
        <v>0.30725328420378095</v>
      </c>
      <c r="M21" s="240">
        <f t="shared" si="11"/>
        <v>0.10907226520014124</v>
      </c>
      <c r="N21" s="240">
        <f t="shared" si="11"/>
        <v>0.32000000000000006</v>
      </c>
      <c r="O21" s="240">
        <f t="shared" si="11"/>
        <v>5.0000000000000044E-2</v>
      </c>
      <c r="P21" s="240">
        <f t="shared" si="11"/>
        <v>0.13055555555555576</v>
      </c>
      <c r="Q21" s="240">
        <f t="shared" si="11"/>
        <v>0.10000000000000009</v>
      </c>
      <c r="R21" s="124"/>
      <c r="S21" s="124"/>
      <c r="T21" s="124"/>
      <c r="U21" s="124"/>
      <c r="V21" s="124"/>
      <c r="W21" s="125"/>
      <c r="X21" s="126"/>
      <c r="Y21" s="126"/>
      <c r="Z21" s="124"/>
      <c r="AA21" s="124"/>
      <c r="AB21" s="124"/>
      <c r="AC21" s="124"/>
      <c r="AD21" s="124"/>
      <c r="AE21" s="127"/>
    </row>
    <row r="22" spans="1:48" outlineLevel="2" x14ac:dyDescent="0.3">
      <c r="A22" s="200" t="s">
        <v>82</v>
      </c>
      <c r="B22" s="199"/>
      <c r="C22" s="201">
        <f>C20/C18</f>
        <v>0.3050445103857567</v>
      </c>
      <c r="D22" s="201">
        <f t="shared" ref="D22:L22" si="12">D20/D18</f>
        <v>0.30931506849315071</v>
      </c>
      <c r="E22" s="201">
        <f t="shared" si="12"/>
        <v>0.33234070712800151</v>
      </c>
      <c r="F22" s="201">
        <f t="shared" si="12"/>
        <v>0.35670939426108728</v>
      </c>
      <c r="G22" s="201">
        <f t="shared" si="12"/>
        <v>0.37306875308790166</v>
      </c>
      <c r="H22" s="201">
        <f t="shared" si="12"/>
        <v>0.37796044481366503</v>
      </c>
      <c r="I22" s="201">
        <f t="shared" si="12"/>
        <v>0.36768991957998004</v>
      </c>
      <c r="J22" s="201">
        <f t="shared" si="12"/>
        <v>0.36886597838997109</v>
      </c>
      <c r="K22" s="201">
        <f t="shared" si="12"/>
        <v>0.34615038021364053</v>
      </c>
      <c r="L22" s="201">
        <f t="shared" si="12"/>
        <v>0.36030113865293439</v>
      </c>
      <c r="M22" s="210">
        <v>0.36</v>
      </c>
      <c r="N22" s="210">
        <v>0.36</v>
      </c>
      <c r="O22" s="210">
        <v>0.36</v>
      </c>
      <c r="P22" s="210">
        <v>0.37</v>
      </c>
      <c r="Q22" s="210">
        <v>0.37</v>
      </c>
      <c r="R22" s="124"/>
      <c r="S22" s="124"/>
      <c r="T22" s="124"/>
      <c r="U22" s="124"/>
      <c r="V22" s="124"/>
      <c r="W22" s="125"/>
      <c r="X22" s="126"/>
      <c r="Y22" s="126"/>
      <c r="Z22" s="124"/>
      <c r="AA22" s="124"/>
      <c r="AB22" s="124"/>
      <c r="AC22" s="124"/>
      <c r="AD22" s="124"/>
      <c r="AE22" s="127"/>
    </row>
    <row r="23" spans="1:48" outlineLevel="2" x14ac:dyDescent="0.3">
      <c r="A23" s="198" t="s">
        <v>83</v>
      </c>
      <c r="B23" s="202">
        <v>157.6</v>
      </c>
      <c r="C23" s="202">
        <v>234.2</v>
      </c>
      <c r="D23" s="202">
        <v>252.1</v>
      </c>
      <c r="E23" s="202">
        <v>282.5</v>
      </c>
      <c r="F23" s="202">
        <v>243.6</v>
      </c>
      <c r="G23" s="202">
        <v>224.6</v>
      </c>
      <c r="H23" s="202">
        <v>213.4</v>
      </c>
      <c r="I23" s="202">
        <v>216.3</v>
      </c>
      <c r="J23" s="202">
        <v>262.5</v>
      </c>
      <c r="K23" s="202">
        <v>377.3</v>
      </c>
      <c r="L23" s="202">
        <v>463.6</v>
      </c>
      <c r="M23" s="204">
        <f>M18-M20</f>
        <v>514.83824640000012</v>
      </c>
      <c r="N23" s="204">
        <f t="shared" ref="N23:Q23" si="13">N18-N20</f>
        <v>679.58648524800014</v>
      </c>
      <c r="O23" s="204">
        <f t="shared" si="13"/>
        <v>713.56580951040019</v>
      </c>
      <c r="P23" s="204">
        <f t="shared" si="13"/>
        <v>772.65797811048014</v>
      </c>
      <c r="Q23" s="204">
        <f t="shared" si="13"/>
        <v>849.92377592152832</v>
      </c>
      <c r="R23" s="235"/>
      <c r="S23" s="235"/>
      <c r="T23" s="235"/>
      <c r="U23" s="235"/>
      <c r="V23" s="235"/>
      <c r="W23" s="236"/>
      <c r="X23" s="237"/>
      <c r="Y23" s="237"/>
      <c r="Z23" s="235"/>
      <c r="AA23" s="235"/>
      <c r="AB23" s="235"/>
      <c r="AC23" s="235"/>
      <c r="AD23" s="235"/>
      <c r="AE23" s="238"/>
      <c r="AF23" s="239"/>
      <c r="AG23" s="239"/>
      <c r="AH23" s="239"/>
      <c r="AI23" s="239"/>
      <c r="AJ23" s="239"/>
      <c r="AK23" s="239"/>
      <c r="AL23" s="239"/>
      <c r="AM23" s="239"/>
      <c r="AN23" s="239"/>
      <c r="AO23" s="239"/>
      <c r="AP23" s="239"/>
      <c r="AQ23" s="239"/>
      <c r="AR23" s="239"/>
      <c r="AS23" s="239"/>
      <c r="AT23" s="239"/>
      <c r="AU23" s="239"/>
      <c r="AV23" s="239"/>
    </row>
    <row r="24" spans="1:48" outlineLevel="2" x14ac:dyDescent="0.3">
      <c r="A24" s="200" t="s">
        <v>77</v>
      </c>
      <c r="B24" s="199"/>
      <c r="C24" s="201">
        <f t="shared" ref="C24:L24" si="14">C23/B23-1</f>
        <v>0.48604060913705571</v>
      </c>
      <c r="D24" s="201">
        <f t="shared" si="14"/>
        <v>7.6430401366353484E-2</v>
      </c>
      <c r="E24" s="201">
        <f t="shared" si="14"/>
        <v>0.12058706862356217</v>
      </c>
      <c r="F24" s="201">
        <f t="shared" si="14"/>
        <v>-0.13769911504424781</v>
      </c>
      <c r="G24" s="201">
        <f t="shared" si="14"/>
        <v>-7.7996715927750371E-2</v>
      </c>
      <c r="H24" s="201">
        <f t="shared" si="14"/>
        <v>-4.9866429207479968E-2</v>
      </c>
      <c r="I24" s="201">
        <f t="shared" si="14"/>
        <v>1.3589503280224902E-2</v>
      </c>
      <c r="J24" s="201">
        <f t="shared" si="14"/>
        <v>0.21359223300970864</v>
      </c>
      <c r="K24" s="201">
        <f t="shared" si="14"/>
        <v>0.43733333333333335</v>
      </c>
      <c r="L24" s="201">
        <f t="shared" si="14"/>
        <v>0.22873045322024921</v>
      </c>
      <c r="M24" s="240">
        <f>M23/L23-1</f>
        <v>0.11052253321829175</v>
      </c>
      <c r="N24" s="240">
        <f t="shared" ref="N24:Q24" si="15">N23/M23-1</f>
        <v>0.32000000000000006</v>
      </c>
      <c r="O24" s="240">
        <f t="shared" si="15"/>
        <v>5.0000000000000044E-2</v>
      </c>
      <c r="P24" s="240">
        <f t="shared" si="15"/>
        <v>8.2812499999999956E-2</v>
      </c>
      <c r="Q24" s="240">
        <f t="shared" si="15"/>
        <v>0.10000000000000031</v>
      </c>
      <c r="R24" s="235"/>
      <c r="S24" s="235"/>
      <c r="T24" s="235"/>
      <c r="U24" s="235"/>
      <c r="V24" s="235"/>
      <c r="W24" s="236"/>
      <c r="X24" s="237"/>
      <c r="Y24" s="237"/>
      <c r="Z24" s="235"/>
      <c r="AA24" s="235"/>
      <c r="AB24" s="235"/>
      <c r="AC24" s="235"/>
      <c r="AD24" s="235"/>
      <c r="AE24" s="238"/>
      <c r="AF24" s="239"/>
      <c r="AG24" s="239"/>
      <c r="AH24" s="239"/>
      <c r="AI24" s="239"/>
      <c r="AJ24" s="239"/>
      <c r="AK24" s="239"/>
      <c r="AL24" s="239"/>
      <c r="AM24" s="239"/>
      <c r="AN24" s="239"/>
      <c r="AO24" s="239"/>
      <c r="AP24" s="239"/>
      <c r="AQ24" s="239"/>
      <c r="AR24" s="239"/>
      <c r="AS24" s="239"/>
      <c r="AT24" s="239"/>
      <c r="AU24" s="239"/>
      <c r="AV24" s="239"/>
    </row>
    <row r="25" spans="1:48" s="239" customFormat="1" outlineLevel="2" x14ac:dyDescent="0.3">
      <c r="A25" s="198"/>
      <c r="B25" s="202"/>
      <c r="C25" s="202"/>
      <c r="D25" s="202"/>
      <c r="E25" s="202"/>
      <c r="F25" s="202"/>
      <c r="G25" s="202"/>
      <c r="H25" s="202"/>
      <c r="I25" s="202"/>
      <c r="J25" s="202"/>
      <c r="K25" s="202"/>
      <c r="L25" s="202"/>
      <c r="M25" s="214"/>
      <c r="N25" s="214"/>
      <c r="O25" s="214"/>
      <c r="P25"/>
      <c r="Q25"/>
      <c r="R25" s="235"/>
      <c r="S25" s="235"/>
      <c r="T25" s="235"/>
      <c r="U25" s="235"/>
      <c r="V25" s="235"/>
      <c r="W25" s="236"/>
      <c r="X25" s="237"/>
      <c r="Y25" s="237"/>
      <c r="Z25" s="235"/>
      <c r="AA25" s="235"/>
      <c r="AB25" s="235"/>
      <c r="AC25" s="235"/>
      <c r="AD25" s="235"/>
      <c r="AE25" s="238"/>
    </row>
    <row r="26" spans="1:48" s="239" customFormat="1" outlineLevel="2" x14ac:dyDescent="0.3">
      <c r="A26" s="198" t="s">
        <v>84</v>
      </c>
      <c r="B26" s="202">
        <f>'GAAP-IFRS'!E11-B23</f>
        <v>5.4650000000000034</v>
      </c>
      <c r="C26" s="202">
        <f>'GAAP-IFRS'!F11-C23</f>
        <v>6.8880000000000052</v>
      </c>
      <c r="D26" s="202">
        <f>'GAAP-IFRS'!G11-D23</f>
        <v>14.114999999999981</v>
      </c>
      <c r="E26" s="202">
        <f>'GAAP-IFRS'!H11-E23</f>
        <v>8.1329999999999814</v>
      </c>
      <c r="F26" s="202">
        <f>'GAAP-IFRS'!I11-F23</f>
        <v>19.169999999999987</v>
      </c>
      <c r="G26" s="202">
        <f>'GAAP-IFRS'!J11-G23</f>
        <v>21.272999999999996</v>
      </c>
      <c r="H26" s="202">
        <f>'GAAP-IFRS'!K11-H23</f>
        <v>17.972000000000008</v>
      </c>
      <c r="I26" s="202">
        <f>'GAAP-IFRS'!L11-I23</f>
        <v>26.462999999999994</v>
      </c>
      <c r="J26" s="202">
        <f>'GAAP-IFRS'!M11-J23</f>
        <v>11.579000000000008</v>
      </c>
      <c r="K26" s="202">
        <f>'GAAP-IFRS'!N11-K23</f>
        <v>27.824999999999989</v>
      </c>
      <c r="L26" s="202">
        <f>'GAAP-IFRS'!O11-L23</f>
        <v>35.962999999999965</v>
      </c>
      <c r="M26" s="204">
        <f>L26*(1+M27)</f>
        <v>39.559299999999965</v>
      </c>
      <c r="N26" s="204">
        <f t="shared" ref="N26:Q26" si="16">M26*(1+N27)</f>
        <v>37.581334999999967</v>
      </c>
      <c r="O26" s="204">
        <f t="shared" si="16"/>
        <v>35.702268249999968</v>
      </c>
      <c r="P26" s="204">
        <f t="shared" si="16"/>
        <v>37.487381662499971</v>
      </c>
      <c r="Q26" s="204">
        <f t="shared" si="16"/>
        <v>39.361750745624974</v>
      </c>
      <c r="R26" s="235"/>
      <c r="S26" s="235"/>
      <c r="T26" s="235"/>
      <c r="U26" s="235"/>
      <c r="V26" s="235"/>
      <c r="W26" s="236"/>
      <c r="X26" s="237"/>
      <c r="Y26" s="237"/>
      <c r="Z26" s="235"/>
      <c r="AA26" s="235"/>
      <c r="AB26" s="235"/>
      <c r="AC26" s="235"/>
      <c r="AD26" s="235"/>
      <c r="AE26" s="238"/>
    </row>
    <row r="27" spans="1:48" outlineLevel="2" x14ac:dyDescent="0.3">
      <c r="A27" s="200" t="s">
        <v>77</v>
      </c>
      <c r="B27" s="199"/>
      <c r="C27" s="201">
        <f t="shared" ref="C27:L27" si="17">C26/B26-1</f>
        <v>0.26038426349496824</v>
      </c>
      <c r="D27" s="201">
        <f t="shared" si="17"/>
        <v>1.0492160278745599</v>
      </c>
      <c r="E27" s="201">
        <f t="shared" si="17"/>
        <v>-0.42380446333687616</v>
      </c>
      <c r="F27" s="201">
        <f t="shared" si="17"/>
        <v>1.3570638140907452</v>
      </c>
      <c r="G27" s="201">
        <f t="shared" si="17"/>
        <v>0.10970266040688625</v>
      </c>
      <c r="H27" s="201">
        <f t="shared" si="17"/>
        <v>-0.15517322427490188</v>
      </c>
      <c r="I27" s="201">
        <f t="shared" si="17"/>
        <v>0.47245715557533829</v>
      </c>
      <c r="J27" s="201">
        <f t="shared" si="17"/>
        <v>-0.5624456788723875</v>
      </c>
      <c r="K27" s="201">
        <f t="shared" si="17"/>
        <v>1.4030572588306391</v>
      </c>
      <c r="L27" s="201">
        <f t="shared" si="17"/>
        <v>0.29247079964061018</v>
      </c>
      <c r="M27" s="210">
        <v>0.1</v>
      </c>
      <c r="N27" s="210">
        <v>-0.05</v>
      </c>
      <c r="O27" s="210">
        <v>-0.05</v>
      </c>
      <c r="P27" s="210">
        <v>0.05</v>
      </c>
      <c r="Q27" s="210">
        <v>0.05</v>
      </c>
      <c r="R27" s="235"/>
      <c r="S27" s="235"/>
      <c r="T27" s="235"/>
      <c r="U27" s="235"/>
      <c r="V27" s="235"/>
      <c r="W27" s="236"/>
      <c r="X27" s="237"/>
      <c r="Y27" s="237"/>
      <c r="Z27" s="235"/>
      <c r="AA27" s="235"/>
      <c r="AB27" s="235"/>
      <c r="AC27" s="235"/>
      <c r="AD27" s="235"/>
      <c r="AE27" s="238"/>
      <c r="AF27" s="239"/>
      <c r="AG27" s="239"/>
      <c r="AH27" s="239"/>
      <c r="AI27" s="239"/>
      <c r="AJ27" s="239"/>
      <c r="AK27" s="239"/>
      <c r="AL27" s="239"/>
      <c r="AM27" s="239"/>
      <c r="AN27" s="239"/>
      <c r="AO27" s="239"/>
      <c r="AP27" s="239"/>
      <c r="AQ27" s="239"/>
      <c r="AR27" s="239"/>
      <c r="AS27" s="239"/>
      <c r="AT27" s="239"/>
      <c r="AU27" s="239"/>
      <c r="AV27" s="239"/>
    </row>
    <row r="28" spans="1:48" outlineLevel="2" x14ac:dyDescent="0.3">
      <c r="A28" s="1"/>
      <c r="B28" s="204"/>
      <c r="C28" s="204"/>
      <c r="D28" s="204"/>
      <c r="E28" s="204"/>
      <c r="F28" s="204"/>
      <c r="G28" s="204"/>
      <c r="H28" s="204"/>
      <c r="I28" s="204"/>
      <c r="J28" s="204"/>
      <c r="K28" s="204"/>
      <c r="L28" s="204"/>
      <c r="M28" s="123"/>
      <c r="N28" s="123"/>
      <c r="O28" s="123"/>
      <c r="P28" s="123"/>
      <c r="Q28" s="123"/>
      <c r="R28" s="124"/>
      <c r="S28" s="124"/>
      <c r="T28" s="124"/>
      <c r="U28" s="124"/>
      <c r="V28" s="124"/>
      <c r="W28" s="203"/>
      <c r="X28" s="126"/>
      <c r="Y28" s="126"/>
      <c r="Z28" s="124"/>
      <c r="AA28" s="124"/>
      <c r="AB28" s="124"/>
      <c r="AC28" s="124"/>
      <c r="AD28" s="124"/>
      <c r="AE28" s="127"/>
    </row>
    <row r="29" spans="1:48" outlineLevel="2" x14ac:dyDescent="0.3">
      <c r="A29" s="208"/>
      <c r="B29" s="209"/>
      <c r="C29" s="209"/>
      <c r="D29" s="209"/>
      <c r="E29" s="209"/>
      <c r="F29" s="209"/>
      <c r="G29" s="209"/>
      <c r="H29" s="209"/>
      <c r="I29" s="209"/>
      <c r="J29" s="209"/>
      <c r="K29" s="209"/>
      <c r="L29" s="209"/>
      <c r="M29" s="204"/>
      <c r="N29" s="204"/>
      <c r="O29" s="123"/>
      <c r="P29" s="123"/>
      <c r="Q29" s="123"/>
      <c r="R29" s="124"/>
      <c r="S29" s="124"/>
      <c r="T29" s="124"/>
      <c r="U29" s="124"/>
      <c r="V29" s="124"/>
      <c r="W29" s="203"/>
      <c r="X29" s="126"/>
      <c r="Y29" s="126"/>
      <c r="Z29" s="124"/>
      <c r="AA29" s="124"/>
      <c r="AB29" s="124"/>
      <c r="AC29" s="124"/>
      <c r="AD29" s="124"/>
      <c r="AE29" s="127"/>
    </row>
    <row r="30" spans="1:48" outlineLevel="2" x14ac:dyDescent="0.3">
      <c r="A30" s="205"/>
      <c r="B30" s="206"/>
      <c r="C30" s="54"/>
      <c r="D30" s="54"/>
      <c r="E30" s="54"/>
      <c r="F30" s="54"/>
      <c r="G30" s="54"/>
      <c r="H30" s="54"/>
      <c r="I30" s="54"/>
      <c r="J30" s="54"/>
      <c r="K30" s="54"/>
      <c r="L30" s="54"/>
      <c r="M30" s="123"/>
      <c r="N30" s="204"/>
      <c r="O30" s="123"/>
      <c r="P30" s="123"/>
      <c r="Q30" s="123"/>
      <c r="R30" s="124"/>
      <c r="S30" s="124"/>
      <c r="T30" s="124"/>
      <c r="U30" s="124"/>
      <c r="V30" s="124"/>
      <c r="W30" s="203"/>
      <c r="X30" s="126"/>
      <c r="Y30" s="126"/>
      <c r="Z30" s="124"/>
      <c r="AA30" s="124"/>
      <c r="AB30" s="124"/>
      <c r="AC30" s="124"/>
      <c r="AD30" s="124"/>
      <c r="AE30" s="127"/>
    </row>
    <row r="31" spans="1:48" outlineLevel="2" x14ac:dyDescent="0.3">
      <c r="A31" s="205"/>
      <c r="B31" s="206"/>
      <c r="C31" s="54"/>
      <c r="D31" s="54"/>
      <c r="E31" s="54"/>
      <c r="F31" s="54"/>
      <c r="G31" s="54"/>
      <c r="H31" s="54"/>
      <c r="I31" s="54"/>
      <c r="J31" s="54"/>
      <c r="K31" s="54"/>
      <c r="L31" s="54"/>
      <c r="M31" s="204"/>
      <c r="N31" s="204"/>
      <c r="O31" s="123"/>
      <c r="P31" s="123"/>
      <c r="Q31" s="123"/>
      <c r="R31" s="124"/>
      <c r="S31" s="124"/>
      <c r="T31" s="124"/>
      <c r="U31" s="124"/>
      <c r="V31" s="124"/>
      <c r="W31" s="203"/>
      <c r="X31" s="126"/>
      <c r="Y31" s="126"/>
      <c r="Z31" s="124"/>
      <c r="AA31" s="124"/>
      <c r="AB31" s="124"/>
      <c r="AC31" s="124"/>
      <c r="AD31" s="124"/>
      <c r="AE31" s="127"/>
    </row>
    <row r="32" spans="1:48" outlineLevel="2" x14ac:dyDescent="0.3">
      <c r="A32" s="1"/>
      <c r="B32" s="54"/>
      <c r="C32" s="54"/>
      <c r="D32" s="54"/>
      <c r="E32" s="54"/>
      <c r="F32" s="54"/>
      <c r="G32" s="54"/>
      <c r="H32" s="54"/>
      <c r="I32" s="54"/>
      <c r="J32" s="54"/>
      <c r="K32" s="54"/>
      <c r="L32" s="54"/>
      <c r="M32" s="204"/>
      <c r="N32" s="123"/>
      <c r="O32" s="123"/>
      <c r="P32" s="123"/>
      <c r="Q32" s="123"/>
      <c r="R32" s="124"/>
      <c r="S32" s="124"/>
      <c r="T32" s="124"/>
      <c r="U32" s="124"/>
      <c r="V32" s="124"/>
      <c r="W32" s="125"/>
      <c r="X32" s="126"/>
      <c r="Y32" s="126"/>
      <c r="Z32" s="124"/>
      <c r="AA32" s="124"/>
      <c r="AB32" s="124"/>
      <c r="AC32" s="124"/>
      <c r="AD32" s="124"/>
      <c r="AE32" s="127"/>
    </row>
    <row r="33" spans="1:31" outlineLevel="2" x14ac:dyDescent="0.3">
      <c r="A33" s="129"/>
      <c r="C33" s="130"/>
      <c r="D33" s="130"/>
      <c r="E33" s="130"/>
      <c r="F33" s="130"/>
      <c r="G33" s="130"/>
      <c r="H33" s="130"/>
      <c r="I33" s="130"/>
      <c r="J33" s="130"/>
      <c r="K33" s="130"/>
      <c r="L33" s="130"/>
      <c r="M33" s="123"/>
      <c r="N33" s="123"/>
      <c r="O33" s="123"/>
      <c r="P33" s="123"/>
      <c r="Q33" s="123"/>
      <c r="R33" s="124"/>
      <c r="S33" s="124"/>
      <c r="T33" s="124"/>
      <c r="U33" s="124"/>
      <c r="V33" s="124"/>
      <c r="W33" s="125"/>
      <c r="X33" s="126"/>
      <c r="Y33" s="126"/>
      <c r="Z33" s="124"/>
      <c r="AA33" s="124"/>
      <c r="AB33" s="124"/>
      <c r="AC33" s="124"/>
      <c r="AD33" s="124"/>
      <c r="AE33" s="127"/>
    </row>
    <row r="34" spans="1:31" outlineLevel="2" x14ac:dyDescent="0.3">
      <c r="A34" s="133"/>
      <c r="B34" s="133"/>
      <c r="C34" s="133"/>
      <c r="D34" s="133"/>
      <c r="E34" s="133"/>
      <c r="F34" s="133"/>
      <c r="G34" s="133"/>
      <c r="H34" s="133"/>
      <c r="I34" s="133"/>
      <c r="J34" s="133"/>
      <c r="K34" s="133"/>
      <c r="L34" s="133"/>
      <c r="M34" s="133"/>
      <c r="N34" s="133"/>
      <c r="O34" s="133"/>
      <c r="P34" s="133"/>
      <c r="Q34" s="133"/>
      <c r="R34" s="121"/>
      <c r="S34" s="121"/>
      <c r="T34" s="121"/>
      <c r="U34" s="121"/>
      <c r="V34" s="121"/>
      <c r="AC34" s="76"/>
    </row>
    <row r="35" spans="1:31" outlineLevel="2" x14ac:dyDescent="0.3">
      <c r="A35" s="131"/>
      <c r="B35" s="132"/>
      <c r="C35" s="133"/>
      <c r="D35" s="133"/>
      <c r="E35" s="133"/>
      <c r="F35" s="133"/>
      <c r="G35" s="133"/>
      <c r="H35" s="133"/>
      <c r="I35" s="133"/>
      <c r="J35" s="133"/>
      <c r="K35" s="133"/>
      <c r="L35" s="133"/>
      <c r="M35" s="133"/>
      <c r="N35" s="133"/>
      <c r="O35" s="133"/>
      <c r="P35" s="133"/>
      <c r="Q35" s="133"/>
      <c r="R35" s="121"/>
      <c r="S35" s="121"/>
      <c r="T35" s="121"/>
      <c r="U35" s="121"/>
      <c r="V35" s="121"/>
      <c r="AC35" s="76"/>
    </row>
    <row r="36" spans="1:31" outlineLevel="2" x14ac:dyDescent="0.3">
      <c r="A36" s="78"/>
      <c r="C36" s="133"/>
      <c r="D36" s="133"/>
      <c r="E36" s="133"/>
      <c r="F36" s="133"/>
      <c r="G36" s="133"/>
      <c r="H36" s="133"/>
      <c r="I36" s="133"/>
      <c r="J36" s="133"/>
      <c r="K36" s="133"/>
      <c r="L36" s="133"/>
      <c r="M36" s="133"/>
      <c r="N36" s="133"/>
      <c r="O36" s="133"/>
      <c r="P36" s="133"/>
      <c r="Q36" s="133"/>
      <c r="R36" s="124"/>
      <c r="S36" s="124"/>
      <c r="T36" s="124"/>
      <c r="U36" s="124"/>
      <c r="V36" s="124"/>
      <c r="W36" s="125"/>
      <c r="X36" s="126"/>
      <c r="Y36" s="126"/>
      <c r="Z36" s="124"/>
      <c r="AA36" s="124"/>
      <c r="AB36" s="124"/>
      <c r="AC36" s="124"/>
      <c r="AD36" s="124"/>
      <c r="AE36" s="127"/>
    </row>
    <row r="37" spans="1:31" outlineLevel="2" collapsed="1" x14ac:dyDescent="0.3">
      <c r="A37" s="129"/>
      <c r="C37" s="130"/>
      <c r="D37" s="130"/>
      <c r="E37" s="130"/>
      <c r="F37" s="130"/>
      <c r="G37" s="130"/>
      <c r="H37" s="130"/>
      <c r="I37" s="130"/>
      <c r="J37" s="130"/>
      <c r="K37" s="130"/>
      <c r="L37" s="130"/>
      <c r="M37" s="123"/>
      <c r="N37" s="123"/>
      <c r="O37" s="123"/>
      <c r="P37" s="123"/>
      <c r="Q37" s="123"/>
      <c r="R37" s="124"/>
      <c r="S37" s="124"/>
      <c r="T37" s="124"/>
      <c r="U37" s="124"/>
      <c r="V37" s="124"/>
      <c r="W37" s="125"/>
      <c r="X37" s="126"/>
      <c r="Y37" s="126"/>
      <c r="Z37" s="124"/>
      <c r="AA37" s="124"/>
      <c r="AB37" s="124"/>
      <c r="AC37" s="124"/>
      <c r="AD37" s="124"/>
      <c r="AE37" s="127"/>
    </row>
    <row r="38" spans="1:31" outlineLevel="2" x14ac:dyDescent="0.3">
      <c r="A38" s="131"/>
      <c r="B38" s="132"/>
      <c r="C38" s="132"/>
      <c r="D38" s="132"/>
      <c r="E38" s="132"/>
      <c r="F38" s="132"/>
      <c r="G38" s="132"/>
      <c r="H38" s="132"/>
      <c r="I38" s="132"/>
      <c r="J38" s="132"/>
      <c r="K38" s="132"/>
      <c r="L38" s="132"/>
      <c r="M38" s="123"/>
      <c r="N38" s="123"/>
      <c r="O38" s="121"/>
      <c r="P38" s="121"/>
      <c r="Q38" s="121"/>
      <c r="R38" s="121"/>
      <c r="S38" s="121"/>
      <c r="T38" s="121"/>
      <c r="U38" s="121"/>
      <c r="V38" s="121"/>
      <c r="AC38" s="76"/>
    </row>
    <row r="39" spans="1:31" outlineLevel="2" x14ac:dyDescent="0.3">
      <c r="A39" s="131"/>
      <c r="B39" s="134"/>
      <c r="C39" s="134"/>
      <c r="D39" s="134"/>
      <c r="E39" s="134"/>
      <c r="F39" s="134"/>
      <c r="G39" s="134"/>
      <c r="H39" s="134"/>
      <c r="I39" s="134"/>
      <c r="J39" s="134"/>
      <c r="K39" s="134"/>
      <c r="L39" s="134"/>
      <c r="M39" s="134"/>
      <c r="N39" s="134"/>
      <c r="O39" s="121"/>
      <c r="P39" s="121"/>
      <c r="Q39" s="121"/>
      <c r="R39" s="121"/>
      <c r="S39" s="121"/>
      <c r="T39" s="121"/>
      <c r="U39" s="121"/>
      <c r="V39" s="121"/>
      <c r="AC39" s="76"/>
    </row>
    <row r="40" spans="1:31" outlineLevel="2" x14ac:dyDescent="0.3">
      <c r="A40" s="131"/>
      <c r="B40" s="132"/>
      <c r="C40" s="132"/>
      <c r="D40" s="132"/>
      <c r="E40" s="132"/>
      <c r="F40" s="132"/>
      <c r="G40" s="132"/>
      <c r="H40" s="132"/>
      <c r="I40" s="132"/>
      <c r="J40" s="132"/>
      <c r="K40" s="132"/>
      <c r="L40" s="132"/>
      <c r="M40" s="132"/>
      <c r="N40" s="132"/>
      <c r="O40" s="121"/>
      <c r="P40" s="121"/>
      <c r="Q40" s="121"/>
      <c r="R40" s="121"/>
      <c r="S40" s="121"/>
      <c r="T40" s="121"/>
      <c r="U40" s="121"/>
      <c r="V40" s="121"/>
      <c r="AC40" s="76"/>
    </row>
    <row r="41" spans="1:31" outlineLevel="2" x14ac:dyDescent="0.3">
      <c r="B41" s="121"/>
      <c r="C41" s="121"/>
      <c r="D41" s="121"/>
      <c r="E41" s="121"/>
      <c r="F41" s="121"/>
      <c r="G41" s="121"/>
      <c r="H41" s="121"/>
      <c r="I41" s="121"/>
      <c r="J41" s="121"/>
      <c r="K41" s="121"/>
      <c r="L41" s="121"/>
      <c r="M41" s="121"/>
      <c r="N41" s="121"/>
      <c r="O41" s="121"/>
      <c r="P41" s="121"/>
      <c r="Q41" s="121"/>
      <c r="R41" s="121"/>
      <c r="S41" s="121"/>
      <c r="T41" s="121"/>
      <c r="U41" s="121"/>
      <c r="V41" s="121"/>
      <c r="AC41" s="76"/>
    </row>
    <row r="42" spans="1:31" outlineLevel="2" x14ac:dyDescent="0.3">
      <c r="B42" s="121"/>
      <c r="C42" s="121"/>
      <c r="D42" s="121"/>
      <c r="E42" s="121" t="s">
        <v>85</v>
      </c>
      <c r="F42" s="121"/>
      <c r="G42" s="121"/>
      <c r="H42" s="121"/>
      <c r="I42" s="121"/>
      <c r="J42" s="121"/>
      <c r="K42" s="121"/>
      <c r="L42" s="121"/>
      <c r="M42" s="121"/>
      <c r="N42" s="121"/>
      <c r="O42" s="121"/>
      <c r="P42" s="121"/>
      <c r="Q42" s="121"/>
      <c r="R42" s="121"/>
      <c r="S42" s="121"/>
      <c r="T42" s="121"/>
      <c r="U42" s="121"/>
      <c r="V42" s="121"/>
      <c r="AC42" s="76"/>
    </row>
    <row r="43" spans="1:31" outlineLevel="2" x14ac:dyDescent="0.3">
      <c r="B43" s="121"/>
      <c r="C43" s="121"/>
      <c r="D43" s="121"/>
      <c r="E43" s="121"/>
      <c r="F43" s="121"/>
      <c r="G43" s="121"/>
      <c r="H43" s="121"/>
      <c r="I43" s="121"/>
      <c r="J43" s="121"/>
      <c r="K43" s="121"/>
      <c r="L43" s="121"/>
      <c r="M43" s="215"/>
      <c r="N43" s="215"/>
      <c r="O43" s="215"/>
      <c r="P43" s="121"/>
      <c r="Q43" s="121"/>
      <c r="R43" s="121"/>
      <c r="S43" s="121"/>
      <c r="T43" s="121"/>
      <c r="U43" s="121"/>
      <c r="V43" s="121"/>
      <c r="AC43" s="76"/>
    </row>
    <row r="44" spans="1:31" outlineLevel="2" x14ac:dyDescent="0.3">
      <c r="B44" s="121"/>
      <c r="C44" s="121"/>
      <c r="D44" s="121"/>
      <c r="E44" s="121"/>
      <c r="F44" s="121"/>
      <c r="G44" s="121"/>
      <c r="H44" s="121"/>
      <c r="I44" s="121"/>
      <c r="J44" s="121"/>
      <c r="K44" s="121"/>
      <c r="L44" s="121"/>
      <c r="M44" s="121"/>
      <c r="N44" s="121"/>
      <c r="O44" s="121"/>
      <c r="P44" s="121"/>
      <c r="Q44" s="121"/>
      <c r="R44" s="121"/>
      <c r="S44" s="121"/>
      <c r="T44" s="121"/>
      <c r="U44" s="121"/>
      <c r="V44" s="121"/>
      <c r="AC44" s="76"/>
    </row>
    <row r="45" spans="1:31" ht="14.45" customHeight="1" outlineLevel="2" x14ac:dyDescent="0.3">
      <c r="A45" s="131" t="s">
        <v>86</v>
      </c>
      <c r="B45" s="133">
        <f t="shared" ref="B45:Q45" si="18">B23+B26</f>
        <v>163.065</v>
      </c>
      <c r="C45" s="133">
        <f t="shared" si="18"/>
        <v>241.08799999999999</v>
      </c>
      <c r="D45" s="133">
        <f t="shared" si="18"/>
        <v>266.21499999999997</v>
      </c>
      <c r="E45" s="133">
        <f t="shared" si="18"/>
        <v>290.63299999999998</v>
      </c>
      <c r="F45" s="133">
        <f t="shared" si="18"/>
        <v>262.77</v>
      </c>
      <c r="G45" s="133">
        <f t="shared" si="18"/>
        <v>245.87299999999999</v>
      </c>
      <c r="H45" s="133">
        <f t="shared" si="18"/>
        <v>231.37200000000001</v>
      </c>
      <c r="I45" s="133">
        <f t="shared" si="18"/>
        <v>242.76300000000001</v>
      </c>
      <c r="J45" s="133">
        <f t="shared" si="18"/>
        <v>274.07900000000001</v>
      </c>
      <c r="K45" s="133">
        <f t="shared" si="18"/>
        <v>405.125</v>
      </c>
      <c r="L45" s="133">
        <f t="shared" si="18"/>
        <v>499.56299999999999</v>
      </c>
      <c r="M45" s="133">
        <f>M23+M26</f>
        <v>554.39754640000012</v>
      </c>
      <c r="N45" s="133">
        <f t="shared" si="18"/>
        <v>717.16782024800011</v>
      </c>
      <c r="O45" s="133">
        <f t="shared" si="18"/>
        <v>749.26807776040016</v>
      </c>
      <c r="P45" s="133">
        <f t="shared" si="18"/>
        <v>810.1453597729801</v>
      </c>
      <c r="Q45" s="133">
        <f t="shared" si="18"/>
        <v>889.28552666715325</v>
      </c>
      <c r="R45" s="121"/>
      <c r="S45" s="121"/>
      <c r="T45" s="121"/>
      <c r="U45" s="121"/>
      <c r="V45" s="121"/>
      <c r="AC45" s="76"/>
    </row>
    <row r="46" spans="1:31" outlineLevel="2" collapsed="1" x14ac:dyDescent="0.3">
      <c r="A46" s="129" t="s">
        <v>87</v>
      </c>
      <c r="C46" s="130">
        <f t="shared" ref="C46:L46" si="19">C45/B45-1</f>
        <v>0.47847790758286579</v>
      </c>
      <c r="D46" s="130">
        <f t="shared" si="19"/>
        <v>0.10422335412795314</v>
      </c>
      <c r="E46" s="130">
        <f t="shared" si="19"/>
        <v>9.1722855586649832E-2</v>
      </c>
      <c r="F46" s="130">
        <f t="shared" si="19"/>
        <v>-9.5870049168539029E-2</v>
      </c>
      <c r="G46" s="130">
        <f t="shared" si="19"/>
        <v>-6.4303383186817387E-2</v>
      </c>
      <c r="H46" s="130">
        <f t="shared" si="19"/>
        <v>-5.8977602258076245E-2</v>
      </c>
      <c r="I46" s="130">
        <f t="shared" si="19"/>
        <v>4.9232404958249099E-2</v>
      </c>
      <c r="J46" s="130">
        <f t="shared" si="19"/>
        <v>0.12899824108286673</v>
      </c>
      <c r="K46" s="130">
        <f t="shared" si="19"/>
        <v>0.47813221735339084</v>
      </c>
      <c r="L46" s="130">
        <f t="shared" si="19"/>
        <v>0.23310829990743587</v>
      </c>
      <c r="M46" s="130">
        <f>M45/L45-1</f>
        <v>0.10976502743397765</v>
      </c>
      <c r="N46" s="130">
        <f t="shared" ref="N46:Q46" si="20">N45/M45-1</f>
        <v>0.2935984744249942</v>
      </c>
      <c r="O46" s="130">
        <f t="shared" si="20"/>
        <v>4.4759757208988615E-2</v>
      </c>
      <c r="P46" s="130">
        <f t="shared" si="20"/>
        <v>8.124899995011825E-2</v>
      </c>
      <c r="Q46" s="130">
        <f t="shared" si="20"/>
        <v>9.7686379289205538E-2</v>
      </c>
      <c r="R46" s="124"/>
      <c r="S46" s="124"/>
      <c r="T46" s="124"/>
      <c r="U46" s="124"/>
      <c r="V46" s="124"/>
      <c r="W46" s="125"/>
      <c r="X46" s="126"/>
      <c r="Y46" s="126"/>
      <c r="Z46" s="124"/>
      <c r="AA46" s="124"/>
      <c r="AB46" s="124"/>
      <c r="AC46" s="124"/>
      <c r="AD46" s="124"/>
      <c r="AE46" s="127"/>
    </row>
    <row r="47" spans="1:31" outlineLevel="2" x14ac:dyDescent="0.3">
      <c r="A47" s="135"/>
      <c r="B47" s="120"/>
      <c r="C47" s="120"/>
      <c r="D47" s="120"/>
      <c r="E47" s="120"/>
      <c r="F47" s="120"/>
      <c r="G47" s="120"/>
      <c r="H47" s="194"/>
      <c r="I47" s="120"/>
      <c r="J47" s="120"/>
      <c r="K47" s="120"/>
      <c r="L47" s="120"/>
      <c r="M47" s="120"/>
      <c r="N47" s="120"/>
      <c r="O47" s="121"/>
      <c r="P47" s="121"/>
      <c r="Q47" s="121"/>
      <c r="R47" s="121"/>
      <c r="S47" s="121"/>
      <c r="T47" s="121"/>
      <c r="U47" s="121"/>
      <c r="V47" s="121"/>
      <c r="AC47" s="76"/>
    </row>
    <row r="48" spans="1:31" outlineLevel="2" x14ac:dyDescent="0.3">
      <c r="A48" s="131" t="s">
        <v>88</v>
      </c>
      <c r="B48" s="136">
        <f>B51-B45</f>
        <v>70.542000000000002</v>
      </c>
      <c r="C48" s="136">
        <f>C51-C45</f>
        <v>0</v>
      </c>
      <c r="D48" s="136">
        <f t="shared" ref="D48:L48" si="21">D51-D45</f>
        <v>-0.1069999999999709</v>
      </c>
      <c r="E48" s="136">
        <f t="shared" si="21"/>
        <v>-4.6809999999999832</v>
      </c>
      <c r="F48" s="136">
        <f>F51-F45</f>
        <v>1.6760000000000446</v>
      </c>
      <c r="G48" s="136">
        <f t="shared" si="21"/>
        <v>-1.4669999999999845</v>
      </c>
      <c r="H48" s="136">
        <f t="shared" si="21"/>
        <v>-8.0000000000012506E-2</v>
      </c>
      <c r="I48" s="136">
        <f t="shared" si="21"/>
        <v>-0.28900000000001569</v>
      </c>
      <c r="J48" s="136">
        <f>J51-J45</f>
        <v>36.358000000000004</v>
      </c>
      <c r="K48" s="136">
        <f t="shared" si="21"/>
        <v>2.7900000000000205</v>
      </c>
      <c r="L48" s="136">
        <f t="shared" si="21"/>
        <v>0</v>
      </c>
      <c r="M48" s="137"/>
      <c r="N48" s="137"/>
      <c r="O48" s="137"/>
      <c r="P48" s="137"/>
      <c r="Q48" s="137"/>
      <c r="R48" s="121"/>
      <c r="S48" s="121"/>
      <c r="T48" s="121"/>
      <c r="U48" s="121"/>
      <c r="V48" s="121"/>
      <c r="AC48" s="76"/>
    </row>
    <row r="49" spans="1:40" outlineLevel="2" collapsed="1" x14ac:dyDescent="0.3">
      <c r="A49" s="129" t="s">
        <v>89</v>
      </c>
      <c r="B49" s="207">
        <f>B48/B$45</f>
        <v>0.43260049673443107</v>
      </c>
      <c r="C49" s="207">
        <f t="shared" ref="C49:L49" si="22">C48/C$45</f>
        <v>0</v>
      </c>
      <c r="D49" s="207">
        <f t="shared" si="22"/>
        <v>-4.0193077024198824E-4</v>
      </c>
      <c r="E49" s="207">
        <f t="shared" si="22"/>
        <v>-1.610622331256252E-2</v>
      </c>
      <c r="F49" s="207">
        <f t="shared" si="22"/>
        <v>6.3782014689654247E-3</v>
      </c>
      <c r="G49" s="207">
        <f t="shared" si="22"/>
        <v>-5.9664948977723644E-3</v>
      </c>
      <c r="H49" s="207">
        <f t="shared" si="22"/>
        <v>-3.4576353232030021E-4</v>
      </c>
      <c r="I49" s="207">
        <f t="shared" si="22"/>
        <v>-1.1904614788909994E-3</v>
      </c>
      <c r="J49" s="207">
        <f t="shared" si="22"/>
        <v>0.13265518335954232</v>
      </c>
      <c r="K49" s="207">
        <f t="shared" si="22"/>
        <v>6.8867633446467649E-3</v>
      </c>
      <c r="L49" s="207">
        <f t="shared" si="22"/>
        <v>0</v>
      </c>
      <c r="M49" s="137"/>
      <c r="N49" s="137"/>
      <c r="O49" s="137"/>
      <c r="P49" s="137"/>
      <c r="Q49" s="137"/>
      <c r="R49" s="124"/>
      <c r="S49" s="124"/>
      <c r="T49" s="124"/>
      <c r="U49" s="124"/>
      <c r="V49" s="124"/>
      <c r="W49" s="125"/>
      <c r="X49" s="126"/>
      <c r="Y49" s="126"/>
      <c r="Z49" s="124"/>
      <c r="AA49" s="124"/>
      <c r="AB49" s="124"/>
      <c r="AC49" s="124"/>
      <c r="AD49" s="124"/>
      <c r="AE49" s="127"/>
    </row>
    <row r="50" spans="1:40" outlineLevel="2" x14ac:dyDescent="0.3">
      <c r="A50" s="131"/>
      <c r="B50" s="132"/>
      <c r="C50" s="132"/>
      <c r="D50" s="132"/>
      <c r="E50" s="132"/>
      <c r="F50" s="132"/>
      <c r="G50" s="132"/>
      <c r="H50" s="132"/>
      <c r="I50" s="132"/>
      <c r="J50" s="132"/>
      <c r="K50" s="132"/>
      <c r="L50" s="132"/>
      <c r="M50" s="137"/>
      <c r="N50" s="137"/>
      <c r="O50" s="137"/>
      <c r="P50" s="137"/>
      <c r="Q50" s="137"/>
      <c r="R50" s="121"/>
      <c r="S50" s="121"/>
      <c r="T50" s="121"/>
      <c r="U50" s="121"/>
      <c r="V50" s="121"/>
      <c r="AC50" s="76"/>
    </row>
    <row r="51" spans="1:40" outlineLevel="2" x14ac:dyDescent="0.3">
      <c r="A51" s="131" t="s">
        <v>90</v>
      </c>
      <c r="B51" s="138">
        <f>'Broker Actual'!E11</f>
        <v>233.607</v>
      </c>
      <c r="C51" s="138">
        <f>'Broker Actual'!F11</f>
        <v>241.08799999999999</v>
      </c>
      <c r="D51" s="138">
        <f>'Broker Actual'!G11</f>
        <v>266.108</v>
      </c>
      <c r="E51" s="138">
        <f>'Broker Actual'!H11</f>
        <v>285.952</v>
      </c>
      <c r="F51" s="138">
        <f>'Broker Actual'!I11</f>
        <v>264.44600000000003</v>
      </c>
      <c r="G51" s="138">
        <f>'Broker Actual'!J11</f>
        <v>244.40600000000001</v>
      </c>
      <c r="H51" s="138">
        <f>'Broker Actual'!K11</f>
        <v>231.292</v>
      </c>
      <c r="I51" s="138">
        <f>'Broker Actual'!L11</f>
        <v>242.47399999999999</v>
      </c>
      <c r="J51" s="138">
        <f>'Broker Actual'!M11</f>
        <v>310.43700000000001</v>
      </c>
      <c r="K51" s="138">
        <f>'Broker Actual'!N11</f>
        <v>407.91500000000002</v>
      </c>
      <c r="L51" s="138">
        <f>'Broker Actual'!O11</f>
        <v>499.56299999999999</v>
      </c>
      <c r="M51" s="137"/>
      <c r="N51" s="137"/>
      <c r="O51" s="137"/>
      <c r="P51" s="137"/>
      <c r="Q51" s="137"/>
      <c r="R51" s="121"/>
      <c r="S51" s="121"/>
      <c r="T51" s="121"/>
      <c r="U51" s="121"/>
      <c r="V51" s="121"/>
      <c r="AC51" s="76"/>
    </row>
    <row r="52" spans="1:40" outlineLevel="2" collapsed="1" x14ac:dyDescent="0.3">
      <c r="A52" s="129" t="s">
        <v>87</v>
      </c>
      <c r="C52" s="130">
        <f t="shared" ref="C52:L52" si="23">C51/B51-1</f>
        <v>3.2023869147756789E-2</v>
      </c>
      <c r="D52" s="130">
        <f t="shared" si="23"/>
        <v>0.10377953278470931</v>
      </c>
      <c r="E52" s="130">
        <f t="shared" si="23"/>
        <v>7.457122671997829E-2</v>
      </c>
      <c r="F52" s="130">
        <f t="shared" si="23"/>
        <v>-7.5208426589077781E-2</v>
      </c>
      <c r="G52" s="130">
        <f t="shared" si="23"/>
        <v>-7.5781066834060717E-2</v>
      </c>
      <c r="H52" s="130">
        <f t="shared" si="23"/>
        <v>-5.3656620541230549E-2</v>
      </c>
      <c r="I52" s="130">
        <f t="shared" si="23"/>
        <v>4.8345813949466354E-2</v>
      </c>
      <c r="J52" s="130">
        <f t="shared" si="23"/>
        <v>0.28028984550920932</v>
      </c>
      <c r="K52" s="130">
        <f t="shared" si="23"/>
        <v>0.31400251902962606</v>
      </c>
      <c r="L52" s="130">
        <f t="shared" si="23"/>
        <v>0.22467425811749986</v>
      </c>
      <c r="M52" s="137"/>
      <c r="N52" s="137"/>
      <c r="O52" s="137"/>
      <c r="P52" s="137"/>
      <c r="Q52" s="137"/>
      <c r="R52" s="124"/>
      <c r="S52" s="124"/>
      <c r="T52" s="124"/>
      <c r="U52" s="124"/>
      <c r="V52" s="124"/>
      <c r="W52" s="125"/>
      <c r="X52" s="126"/>
      <c r="Y52" s="126"/>
      <c r="Z52" s="124"/>
      <c r="AA52" s="124"/>
      <c r="AB52" s="124"/>
      <c r="AC52" s="124"/>
      <c r="AD52" s="124"/>
      <c r="AE52" s="127"/>
    </row>
    <row r="53" spans="1:40" outlineLevel="2" x14ac:dyDescent="0.3">
      <c r="A53" s="129"/>
      <c r="C53" s="130"/>
      <c r="D53" s="130"/>
      <c r="E53" s="130"/>
      <c r="F53" s="130"/>
      <c r="G53" s="130"/>
      <c r="H53" s="130"/>
      <c r="I53" s="130"/>
      <c r="J53" s="130"/>
      <c r="K53" s="130"/>
      <c r="L53" s="130"/>
      <c r="M53" s="130"/>
      <c r="N53" s="130"/>
      <c r="O53" s="130"/>
      <c r="P53" s="130"/>
      <c r="Q53" s="130"/>
      <c r="R53" s="124"/>
      <c r="S53" s="124"/>
      <c r="T53" s="124"/>
      <c r="U53" s="124"/>
      <c r="V53" s="124"/>
      <c r="W53" s="125"/>
      <c r="X53" s="126"/>
      <c r="Y53" s="126"/>
      <c r="Z53" s="124"/>
      <c r="AA53" s="124"/>
      <c r="AB53" s="124"/>
      <c r="AC53" s="124"/>
      <c r="AD53" s="124"/>
      <c r="AE53" s="127"/>
    </row>
    <row r="54" spans="1:40" outlineLevel="2" x14ac:dyDescent="0.3">
      <c r="A54" s="79" t="str">
        <f>"Reconcile "&amp;A57&amp;" with"&amp;" above"</f>
        <v>Reconcile Revenue (Historical Data: Broker Actual) with above</v>
      </c>
      <c r="B54" s="128">
        <f t="shared" ref="B54:L54" si="24">B57-B51</f>
        <v>0</v>
      </c>
      <c r="C54" s="128">
        <f t="shared" si="24"/>
        <v>0</v>
      </c>
      <c r="D54" s="128">
        <f t="shared" si="24"/>
        <v>0</v>
      </c>
      <c r="E54" s="128">
        <f t="shared" si="24"/>
        <v>0</v>
      </c>
      <c r="F54" s="128">
        <f t="shared" si="24"/>
        <v>0</v>
      </c>
      <c r="G54" s="128">
        <f t="shared" si="24"/>
        <v>0</v>
      </c>
      <c r="H54" s="128">
        <f t="shared" si="24"/>
        <v>0</v>
      </c>
      <c r="I54" s="128">
        <f>I57-I51</f>
        <v>0</v>
      </c>
      <c r="J54" s="128">
        <f t="shared" si="24"/>
        <v>0</v>
      </c>
      <c r="K54" s="128">
        <f t="shared" si="24"/>
        <v>0</v>
      </c>
      <c r="L54" s="128">
        <f t="shared" si="24"/>
        <v>0</v>
      </c>
      <c r="M54" s="139">
        <v>0</v>
      </c>
      <c r="N54" s="139">
        <v>0</v>
      </c>
      <c r="O54" s="139">
        <v>0</v>
      </c>
      <c r="P54" s="139">
        <v>0</v>
      </c>
      <c r="Q54" s="139">
        <v>0</v>
      </c>
      <c r="R54" s="121"/>
      <c r="S54" s="121"/>
      <c r="T54" s="121"/>
      <c r="U54" s="121"/>
      <c r="V54" s="121"/>
      <c r="AC54" s="76"/>
    </row>
    <row r="55" spans="1:40" outlineLevel="2" collapsed="1" x14ac:dyDescent="0.3">
      <c r="A55" s="129" t="s">
        <v>89</v>
      </c>
      <c r="B55" s="207">
        <f>B54/B$45</f>
        <v>0</v>
      </c>
      <c r="C55" s="207">
        <f t="shared" ref="C55:L55" si="25">C54/C$45</f>
        <v>0</v>
      </c>
      <c r="D55" s="207">
        <f t="shared" si="25"/>
        <v>0</v>
      </c>
      <c r="E55" s="207">
        <f t="shared" si="25"/>
        <v>0</v>
      </c>
      <c r="F55" s="207">
        <f t="shared" si="25"/>
        <v>0</v>
      </c>
      <c r="G55" s="207">
        <f t="shared" si="25"/>
        <v>0</v>
      </c>
      <c r="H55" s="207">
        <f t="shared" si="25"/>
        <v>0</v>
      </c>
      <c r="I55" s="207">
        <f t="shared" si="25"/>
        <v>0</v>
      </c>
      <c r="J55" s="207">
        <f t="shared" si="25"/>
        <v>0</v>
      </c>
      <c r="K55" s="207">
        <f t="shared" si="25"/>
        <v>0</v>
      </c>
      <c r="L55" s="207">
        <f t="shared" si="25"/>
        <v>0</v>
      </c>
      <c r="M55" s="137"/>
      <c r="N55" s="137"/>
      <c r="O55" s="137"/>
      <c r="P55" s="137"/>
      <c r="Q55" s="137"/>
      <c r="R55" s="124"/>
      <c r="S55" s="124"/>
      <c r="T55" s="124"/>
      <c r="U55" s="124"/>
      <c r="V55" s="124"/>
      <c r="W55" s="125"/>
      <c r="X55" s="126"/>
      <c r="Y55" s="126"/>
      <c r="Z55" s="124"/>
      <c r="AA55" s="124"/>
      <c r="AB55" s="124"/>
      <c r="AC55" s="124"/>
      <c r="AD55" s="124"/>
      <c r="AE55" s="127"/>
    </row>
    <row r="56" spans="1:40" outlineLevel="1" x14ac:dyDescent="0.3">
      <c r="L56" s="128"/>
      <c r="M56" s="128"/>
      <c r="N56" s="128"/>
      <c r="O56" s="128"/>
      <c r="P56" s="128"/>
      <c r="Q56" s="128"/>
      <c r="R56" s="121"/>
      <c r="S56" s="121"/>
      <c r="T56" s="121"/>
      <c r="U56" s="121"/>
      <c r="V56" s="121"/>
      <c r="AC56" s="76"/>
    </row>
    <row r="57" spans="1:40" outlineLevel="1" x14ac:dyDescent="0.3">
      <c r="A57" s="118" t="str">
        <f>"Revenue (Historical Data: "&amp;B2&amp;")"</f>
        <v>Revenue (Historical Data: Broker Actual)</v>
      </c>
      <c r="B57" s="140">
        <f>CHOOSE(IF($B$1=2,2,1),'GAAP-IFRS'!E11,IF('Broker Actual'!E11="-",'GAAP-IFRS'!E11,'Broker Actual'!E11))</f>
        <v>233.607</v>
      </c>
      <c r="C57" s="140">
        <f>CHOOSE(IF($B$1=2,2,1),'GAAP-IFRS'!F11,IF('Broker Actual'!F11="-",'GAAP-IFRS'!F11,'Broker Actual'!F11))</f>
        <v>241.08799999999999</v>
      </c>
      <c r="D57" s="140">
        <f>CHOOSE(IF($B$1=2,2,1),'GAAP-IFRS'!G11,IF('Broker Actual'!G11="-",'GAAP-IFRS'!G11,'Broker Actual'!G11))</f>
        <v>266.108</v>
      </c>
      <c r="E57" s="140">
        <f>CHOOSE(IF($B$1=2,2,1),'GAAP-IFRS'!H11,IF('Broker Actual'!H11="-",'GAAP-IFRS'!H11,'Broker Actual'!H11))</f>
        <v>285.952</v>
      </c>
      <c r="F57" s="140">
        <f>CHOOSE(IF($B$1=2,2,1),'GAAP-IFRS'!I11,IF('Broker Actual'!I11="-",'GAAP-IFRS'!I11,'Broker Actual'!I11))</f>
        <v>264.44600000000003</v>
      </c>
      <c r="G57" s="140">
        <f>CHOOSE(IF($B$1=2,2,1),'GAAP-IFRS'!J11,IF('Broker Actual'!J11="-",'GAAP-IFRS'!J11,'Broker Actual'!J11))</f>
        <v>244.40600000000001</v>
      </c>
      <c r="H57" s="140">
        <f>CHOOSE(IF($B$1=2,2,1),'GAAP-IFRS'!K11,IF('Broker Actual'!K11="-",'GAAP-IFRS'!K11,'Broker Actual'!K11))</f>
        <v>231.292</v>
      </c>
      <c r="I57" s="140">
        <f>CHOOSE(IF($B$1=2,2,1),'GAAP-IFRS'!L11,IF('Broker Actual'!L11="-",'GAAP-IFRS'!L11,'Broker Actual'!L11))</f>
        <v>242.47399999999999</v>
      </c>
      <c r="J57" s="140">
        <f>CHOOSE(IF($B$1=2,2,1),'GAAP-IFRS'!M11,IF('Broker Actual'!M11="-",'GAAP-IFRS'!M11,'Broker Actual'!M11))</f>
        <v>310.43700000000001</v>
      </c>
      <c r="K57" s="140">
        <f>CHOOSE(IF($B$1=2,2,1),'GAAP-IFRS'!N11,IF('Broker Actual'!N11="-",'GAAP-IFRS'!N11,'Broker Actual'!N11))</f>
        <v>407.91500000000002</v>
      </c>
      <c r="L57" s="140">
        <f>CHOOSE(IF($B$1=2,2,1),'GAAP-IFRS'!O11,IF('Broker Actual'!O11="-",'GAAP-IFRS'!O11,'Broker Actual'!O11))</f>
        <v>499.56299999999999</v>
      </c>
      <c r="M57" s="141">
        <f>M45+M54</f>
        <v>554.39754640000012</v>
      </c>
      <c r="N57" s="141">
        <f t="shared" ref="N57:Q57" si="26">N45+N54</f>
        <v>717.16782024800011</v>
      </c>
      <c r="O57" s="141">
        <f t="shared" si="26"/>
        <v>749.26807776040016</v>
      </c>
      <c r="P57" s="141">
        <f t="shared" si="26"/>
        <v>810.1453597729801</v>
      </c>
      <c r="Q57" s="141">
        <f t="shared" si="26"/>
        <v>889.28552666715325</v>
      </c>
      <c r="R57" s="124"/>
      <c r="S57" s="124"/>
      <c r="T57" s="124"/>
      <c r="U57" s="124"/>
      <c r="V57" s="124"/>
      <c r="W57" s="125"/>
      <c r="X57" s="126" t="s">
        <v>91</v>
      </c>
      <c r="Y57" s="126" t="s">
        <v>92</v>
      </c>
      <c r="Z57" s="124" cm="1">
        <f t="array" ref="Z57">_xll.FDSC("--",$A$1,""&amp;$X57&amp;"("&amp;$Y57&amp;","&amp;D$2&amp;",ANNUAL_ROLL,+1,0,,,'CURRENCY="&amp;$E$1&amp;"')")</f>
        <v>508.976</v>
      </c>
      <c r="AA57" s="124" cm="1">
        <f t="array" ref="AA57">_xll.FDSC("--",$A$1,""&amp;$X57&amp;"("&amp;$Y57&amp;","&amp;D$2&amp;",ANNUAL_ROLL,+2,0,,,'CURRENCY="&amp;$E$1&amp;"')")</f>
        <v>579.02200000000005</v>
      </c>
      <c r="AB57" s="124" t="str" cm="1">
        <f t="array" ref="AB57">_xll.FDSC("--",$A$1,""&amp;$X57&amp;"("&amp;$Y57&amp;","&amp;D$2&amp;",ANNUAL_ROLL,+3,0,,,'CURRENCY="&amp;$E$1&amp;"')")</f>
        <v>--</v>
      </c>
      <c r="AC57" s="124"/>
      <c r="AD57" s="124"/>
      <c r="AE57" s="127"/>
    </row>
    <row r="58" spans="1:40" outlineLevel="1" x14ac:dyDescent="0.3">
      <c r="A58" s="129" t="s">
        <v>87</v>
      </c>
      <c r="C58" s="130">
        <f>C57/B57-1</f>
        <v>3.2023869147756789E-2</v>
      </c>
      <c r="D58" s="130">
        <f t="shared" ref="D58:L58" si="27">D57/C57-1</f>
        <v>0.10377953278470931</v>
      </c>
      <c r="E58" s="130">
        <f t="shared" si="27"/>
        <v>7.457122671997829E-2</v>
      </c>
      <c r="F58" s="130">
        <f t="shared" si="27"/>
        <v>-7.5208426589077781E-2</v>
      </c>
      <c r="G58" s="130">
        <f t="shared" si="27"/>
        <v>-7.5781066834060717E-2</v>
      </c>
      <c r="H58" s="130">
        <f t="shared" si="27"/>
        <v>-5.3656620541230549E-2</v>
      </c>
      <c r="I58" s="130">
        <f t="shared" si="27"/>
        <v>4.8345813949466354E-2</v>
      </c>
      <c r="J58" s="130">
        <f t="shared" si="27"/>
        <v>0.28028984550920932</v>
      </c>
      <c r="K58" s="130">
        <f t="shared" si="27"/>
        <v>0.31400251902962606</v>
      </c>
      <c r="L58" s="130">
        <f t="shared" si="27"/>
        <v>0.22467425811749986</v>
      </c>
      <c r="M58" s="142">
        <f>M57/L57-1</f>
        <v>0.10976502743397765</v>
      </c>
      <c r="N58" s="142">
        <f>N57/M57-1</f>
        <v>0.2935984744249942</v>
      </c>
      <c r="O58" s="142">
        <f>O57/N57-1</f>
        <v>4.4759757208988615E-2</v>
      </c>
      <c r="P58" s="142">
        <f>P57/O57-1</f>
        <v>8.124899995011825E-2</v>
      </c>
      <c r="Q58" s="142">
        <f>Q57/P57-1</f>
        <v>9.7686379289205538E-2</v>
      </c>
      <c r="R58" s="124"/>
      <c r="S58" s="124"/>
      <c r="T58" s="124"/>
      <c r="U58" s="124"/>
      <c r="V58" s="124"/>
      <c r="W58" s="125"/>
      <c r="X58" s="126"/>
      <c r="Y58" s="126"/>
      <c r="Z58" s="124"/>
      <c r="AA58" s="124"/>
      <c r="AB58" s="124"/>
      <c r="AC58" s="124"/>
      <c r="AD58" s="124"/>
      <c r="AE58" s="127"/>
    </row>
    <row r="59" spans="1:40" outlineLevel="1" x14ac:dyDescent="0.3">
      <c r="A59" s="129"/>
      <c r="C59" s="130"/>
      <c r="D59" s="130"/>
      <c r="E59" s="130"/>
      <c r="F59" s="130"/>
      <c r="G59" s="130"/>
      <c r="H59" s="130"/>
      <c r="I59" s="130"/>
      <c r="J59" s="130"/>
      <c r="K59" s="130"/>
      <c r="L59" s="130"/>
      <c r="M59" s="123"/>
      <c r="N59" s="123"/>
      <c r="O59" s="123"/>
      <c r="P59" s="123"/>
      <c r="Q59" s="123"/>
      <c r="R59" s="124"/>
      <c r="S59" s="124"/>
      <c r="T59" s="124"/>
      <c r="U59" s="124"/>
      <c r="V59" s="124"/>
      <c r="W59" s="125"/>
      <c r="X59" s="126"/>
      <c r="Y59" s="126"/>
      <c r="Z59" s="124"/>
      <c r="AA59" s="124"/>
      <c r="AB59" s="124"/>
      <c r="AC59" s="124"/>
      <c r="AD59" s="124"/>
      <c r="AE59" s="127"/>
    </row>
    <row r="60" spans="1:40" outlineLevel="1" x14ac:dyDescent="0.3">
      <c r="A60" s="118" t="s">
        <v>93</v>
      </c>
      <c r="B60" s="124"/>
      <c r="C60" s="124"/>
      <c r="D60" s="124"/>
      <c r="E60" s="124"/>
      <c r="F60" s="154"/>
      <c r="G60" s="124"/>
      <c r="H60" s="124"/>
      <c r="I60" s="124"/>
      <c r="J60" s="124"/>
      <c r="K60" s="124"/>
      <c r="L60" s="124"/>
      <c r="M60" s="141"/>
      <c r="N60" s="141"/>
      <c r="O60" s="141"/>
      <c r="P60" s="141"/>
      <c r="Q60" s="141"/>
      <c r="R60" s="124"/>
      <c r="S60" s="124"/>
      <c r="T60" s="124"/>
      <c r="U60" s="124"/>
      <c r="V60" s="124"/>
      <c r="W60" s="125"/>
      <c r="X60" s="126"/>
      <c r="Y60" s="126"/>
      <c r="Z60" s="124"/>
      <c r="AA60" s="124"/>
      <c r="AB60" s="124"/>
      <c r="AC60" s="124"/>
      <c r="AD60" s="124"/>
      <c r="AE60" s="127"/>
    </row>
    <row r="61" spans="1:40" outlineLevel="2" x14ac:dyDescent="0.3">
      <c r="A61" s="198" t="s">
        <v>94</v>
      </c>
      <c r="B61" s="202">
        <v>66.309997999999993</v>
      </c>
      <c r="C61" s="202">
        <v>65.123001000000002</v>
      </c>
      <c r="D61" s="202">
        <v>79.468001999999998</v>
      </c>
      <c r="E61" s="202">
        <v>87.223999000000006</v>
      </c>
      <c r="F61" s="202">
        <v>124.667</v>
      </c>
      <c r="G61" s="202">
        <v>165.628998</v>
      </c>
      <c r="H61" s="202">
        <v>109.328003</v>
      </c>
      <c r="I61" s="202">
        <v>107.514</v>
      </c>
      <c r="J61" s="202">
        <v>160.03599500000001</v>
      </c>
      <c r="K61" s="202">
        <v>227.52499399999999</v>
      </c>
      <c r="L61" s="202">
        <v>371.46301299999999</v>
      </c>
      <c r="M61" s="211">
        <f>M66*M67</f>
        <v>293.45780044800006</v>
      </c>
      <c r="N61" s="211">
        <f>N66*N67</f>
        <v>385.32553713561606</v>
      </c>
      <c r="O61" s="211">
        <f>O66*O67</f>
        <v>404.59181399239691</v>
      </c>
      <c r="P61" s="211">
        <f t="shared" ref="P61:Q61" si="28">P23*P64</f>
        <v>417.23530817965928</v>
      </c>
      <c r="Q61" s="211">
        <f t="shared" si="28"/>
        <v>458.95883899762532</v>
      </c>
      <c r="R61" s="124"/>
      <c r="T61" s="124"/>
      <c r="U61" s="124"/>
      <c r="V61" s="124"/>
      <c r="W61" s="125"/>
      <c r="X61" s="126"/>
      <c r="Y61" s="126"/>
      <c r="Z61" s="124"/>
      <c r="AA61" s="124"/>
      <c r="AB61" s="124"/>
      <c r="AC61" s="124"/>
      <c r="AD61" s="124"/>
      <c r="AE61" s="124"/>
      <c r="AF61" s="124"/>
      <c r="AG61" s="124"/>
      <c r="AH61" s="124"/>
      <c r="AI61" s="124"/>
      <c r="AJ61" s="124"/>
      <c r="AK61" s="124"/>
      <c r="AL61" s="124"/>
      <c r="AM61" s="124"/>
      <c r="AN61" s="124"/>
    </row>
    <row r="62" spans="1:40" outlineLevel="2" x14ac:dyDescent="0.3">
      <c r="A62" s="200" t="s">
        <v>95</v>
      </c>
      <c r="B62" s="201">
        <f>B61/B45</f>
        <v>0.40664764357771438</v>
      </c>
      <c r="C62" s="201">
        <f>C61/C45</f>
        <v>0.27012128766259624</v>
      </c>
      <c r="D62" s="201">
        <f t="shared" ref="D62:K62" si="29">D61/D45</f>
        <v>0.29851060984542571</v>
      </c>
      <c r="E62" s="201">
        <f t="shared" si="29"/>
        <v>0.30011732666283597</v>
      </c>
      <c r="F62" s="201">
        <f t="shared" si="29"/>
        <v>0.47443391559158204</v>
      </c>
      <c r="G62" s="201">
        <f t="shared" si="29"/>
        <v>0.67363638138388515</v>
      </c>
      <c r="H62" s="201">
        <f t="shared" si="29"/>
        <v>0.47252045623498085</v>
      </c>
      <c r="I62" s="201">
        <f t="shared" si="29"/>
        <v>0.44287638561065729</v>
      </c>
      <c r="J62" s="201">
        <f t="shared" si="29"/>
        <v>0.58390462238989493</v>
      </c>
      <c r="K62" s="201">
        <f t="shared" si="29"/>
        <v>0.56161677013267508</v>
      </c>
      <c r="L62" s="201">
        <f>L61/L45</f>
        <v>0.7435759113465169</v>
      </c>
      <c r="M62" s="142">
        <f t="shared" ref="M62:Q62" si="30">M61/M45</f>
        <v>0.52932737951958586</v>
      </c>
      <c r="N62" s="142">
        <f t="shared" si="30"/>
        <v>0.53728782337496495</v>
      </c>
      <c r="O62" s="142">
        <f t="shared" si="30"/>
        <v>0.53998271913804485</v>
      </c>
      <c r="P62" s="142">
        <f t="shared" si="30"/>
        <v>0.51501289632341718</v>
      </c>
      <c r="Q62" s="142">
        <f t="shared" si="30"/>
        <v>0.51609840173347044</v>
      </c>
      <c r="R62" s="124"/>
      <c r="T62" s="124"/>
      <c r="U62" s="124"/>
      <c r="V62" s="124"/>
      <c r="W62" s="125"/>
      <c r="X62" s="126"/>
      <c r="Y62" s="126"/>
      <c r="Z62" s="124"/>
      <c r="AA62" s="124"/>
      <c r="AB62" s="124"/>
      <c r="AC62" s="124"/>
      <c r="AD62" s="124"/>
      <c r="AE62" s="124"/>
      <c r="AF62" s="124"/>
      <c r="AG62" s="124"/>
      <c r="AH62" s="124"/>
      <c r="AI62" s="124"/>
      <c r="AJ62" s="124"/>
      <c r="AK62" s="124"/>
      <c r="AL62" s="124"/>
      <c r="AM62" s="124"/>
      <c r="AN62" s="124"/>
    </row>
    <row r="63" spans="1:40" outlineLevel="2" x14ac:dyDescent="0.3">
      <c r="A63" s="313" t="s">
        <v>96</v>
      </c>
      <c r="B63" s="201"/>
      <c r="C63" s="201">
        <f>C61/B61-1</f>
        <v>-1.7900724412629132E-2</v>
      </c>
      <c r="D63" s="201">
        <f t="shared" ref="D63:L63" si="31">D61/C61-1</f>
        <v>0.22027549068262364</v>
      </c>
      <c r="E63" s="201">
        <f t="shared" si="31"/>
        <v>9.7598993365908493E-2</v>
      </c>
      <c r="F63" s="201">
        <f t="shared" si="31"/>
        <v>0.42927406939917989</v>
      </c>
      <c r="G63" s="201">
        <f t="shared" si="31"/>
        <v>0.32857129793770601</v>
      </c>
      <c r="H63" s="201">
        <f t="shared" si="31"/>
        <v>-0.33992233050881582</v>
      </c>
      <c r="I63" s="201">
        <f t="shared" si="31"/>
        <v>-1.659229977885901E-2</v>
      </c>
      <c r="J63" s="201">
        <f t="shared" si="31"/>
        <v>0.48851307736666882</v>
      </c>
      <c r="K63" s="201">
        <f t="shared" si="31"/>
        <v>0.42171137186980956</v>
      </c>
      <c r="L63" s="201">
        <f t="shared" si="31"/>
        <v>0.63262508645533688</v>
      </c>
      <c r="M63" s="142">
        <f>M61/L61-1</f>
        <v>-0.20999456156352214</v>
      </c>
      <c r="N63" s="142">
        <f t="shared" ref="N63:Q63" si="32">N61/M61-1</f>
        <v>0.31305263157894725</v>
      </c>
      <c r="O63" s="142">
        <f t="shared" si="32"/>
        <v>5.0000000000000044E-2</v>
      </c>
      <c r="P63" s="142">
        <f t="shared" si="32"/>
        <v>3.125E-2</v>
      </c>
      <c r="Q63" s="142">
        <f t="shared" si="32"/>
        <v>0.10000000000000031</v>
      </c>
      <c r="R63" s="124"/>
      <c r="T63" s="124"/>
      <c r="U63" s="124"/>
      <c r="V63" s="124"/>
      <c r="W63" s="125"/>
      <c r="X63" s="126"/>
      <c r="Y63" s="126"/>
      <c r="Z63" s="124"/>
      <c r="AA63" s="124"/>
      <c r="AB63" s="124"/>
      <c r="AC63" s="124"/>
      <c r="AD63" s="124"/>
      <c r="AE63" s="124"/>
      <c r="AF63" s="124"/>
      <c r="AG63" s="124"/>
      <c r="AH63" s="124"/>
      <c r="AI63" s="124"/>
      <c r="AJ63" s="124"/>
      <c r="AK63" s="124"/>
      <c r="AL63" s="124"/>
      <c r="AM63" s="124"/>
      <c r="AN63" s="124"/>
    </row>
    <row r="64" spans="1:40" outlineLevel="2" x14ac:dyDescent="0.3">
      <c r="A64" s="200" t="s">
        <v>570</v>
      </c>
      <c r="B64" s="201">
        <f>B61/B23</f>
        <v>0.42074871827411164</v>
      </c>
      <c r="C64" s="201">
        <f t="shared" ref="C64:L64" si="33">C61/C23</f>
        <v>0.27806576003415884</v>
      </c>
      <c r="D64" s="201">
        <f t="shared" si="33"/>
        <v>0.31522412534708449</v>
      </c>
      <c r="E64" s="201">
        <f t="shared" si="33"/>
        <v>0.3087575185840708</v>
      </c>
      <c r="F64" s="201">
        <f t="shared" si="33"/>
        <v>0.51176929392446635</v>
      </c>
      <c r="G64" s="201">
        <f t="shared" si="33"/>
        <v>0.73743988423864648</v>
      </c>
      <c r="H64" s="201">
        <f t="shared" si="33"/>
        <v>0.51231491565135889</v>
      </c>
      <c r="I64" s="201">
        <f t="shared" si="33"/>
        <v>0.49705963938973641</v>
      </c>
      <c r="J64" s="201">
        <f t="shared" si="33"/>
        <v>0.60966093333333338</v>
      </c>
      <c r="K64" s="201">
        <f t="shared" si="33"/>
        <v>0.60303470447919427</v>
      </c>
      <c r="L64" s="201">
        <f t="shared" si="33"/>
        <v>0.8012575776531492</v>
      </c>
      <c r="M64" s="273">
        <v>0.56999999999999995</v>
      </c>
      <c r="N64" s="273">
        <v>0.63</v>
      </c>
      <c r="O64" s="273">
        <v>0.63</v>
      </c>
      <c r="P64" s="273">
        <v>0.54</v>
      </c>
      <c r="Q64" s="273">
        <v>0.54</v>
      </c>
      <c r="R64" s="124"/>
      <c r="S64" s="124"/>
      <c r="T64" s="124"/>
      <c r="U64" s="124"/>
      <c r="V64" s="124"/>
      <c r="W64" s="125"/>
      <c r="X64" s="126"/>
      <c r="Y64" s="126"/>
      <c r="Z64" s="124"/>
      <c r="AA64" s="124"/>
      <c r="AB64" s="124"/>
      <c r="AC64" s="197"/>
      <c r="AD64" s="197"/>
      <c r="AE64" s="197"/>
      <c r="AF64" s="197"/>
      <c r="AG64" s="197"/>
      <c r="AH64" s="197"/>
      <c r="AI64" s="197"/>
      <c r="AJ64" s="197"/>
      <c r="AK64" s="197"/>
      <c r="AL64" s="197"/>
      <c r="AM64" s="197"/>
      <c r="AN64" s="197"/>
    </row>
    <row r="65" spans="1:40" outlineLevel="2" x14ac:dyDescent="0.3">
      <c r="A65" s="313" t="s">
        <v>97</v>
      </c>
      <c r="B65" s="201"/>
      <c r="C65" s="201">
        <f>C64/B64-1</f>
        <v>-0.33911679832378461</v>
      </c>
      <c r="D65" s="201">
        <f t="shared" ref="D65:L65" si="34">D64/C64-1</f>
        <v>0.13363157444613449</v>
      </c>
      <c r="E65" s="201">
        <f t="shared" si="34"/>
        <v>-2.0514314238776921E-2</v>
      </c>
      <c r="F65" s="201">
        <f t="shared" si="34"/>
        <v>0.65751200576875335</v>
      </c>
      <c r="G65" s="201">
        <f t="shared" si="34"/>
        <v>0.44096156802148356</v>
      </c>
      <c r="H65" s="201">
        <f t="shared" si="34"/>
        <v>-0.30527907887666383</v>
      </c>
      <c r="I65" s="201">
        <f t="shared" si="34"/>
        <v>-2.9777146429997847E-2</v>
      </c>
      <c r="J65" s="201">
        <f t="shared" si="34"/>
        <v>0.22653477575013503</v>
      </c>
      <c r="K65" s="201">
        <f t="shared" si="34"/>
        <v>-1.0868711593360669E-2</v>
      </c>
      <c r="L65" s="201">
        <f t="shared" si="34"/>
        <v>0.32870889801466463</v>
      </c>
      <c r="M65" s="142">
        <f>M64/L64-1</f>
        <v>-0.28861827220466763</v>
      </c>
      <c r="N65" s="142">
        <f t="shared" ref="N65:Q65" si="35">N64/M64-1</f>
        <v>0.10526315789473695</v>
      </c>
      <c r="O65" s="142">
        <f t="shared" si="35"/>
        <v>0</v>
      </c>
      <c r="P65" s="142">
        <f t="shared" si="35"/>
        <v>-0.14285714285714279</v>
      </c>
      <c r="Q65" s="142">
        <f t="shared" si="35"/>
        <v>0</v>
      </c>
      <c r="R65" s="124"/>
      <c r="S65" s="124"/>
      <c r="T65" s="124"/>
      <c r="U65" s="124"/>
      <c r="V65" s="124"/>
      <c r="W65" s="125"/>
      <c r="X65" s="126"/>
      <c r="Y65" s="126"/>
      <c r="Z65" s="124"/>
      <c r="AA65" s="124"/>
      <c r="AB65" s="124"/>
      <c r="AC65" s="197"/>
      <c r="AD65" s="197"/>
      <c r="AE65" s="197"/>
      <c r="AF65" s="197"/>
      <c r="AG65" s="197"/>
      <c r="AH65" s="197"/>
      <c r="AI65" s="197"/>
      <c r="AJ65" s="197"/>
      <c r="AK65" s="197"/>
      <c r="AL65" s="197"/>
      <c r="AM65" s="197"/>
      <c r="AN65" s="197"/>
    </row>
    <row r="66" spans="1:40" outlineLevel="2" x14ac:dyDescent="0.3">
      <c r="A66" s="313" t="s">
        <v>567</v>
      </c>
      <c r="B66" s="202">
        <f t="shared" ref="B66:O66" si="36">B23*B64</f>
        <v>66.309997999999993</v>
      </c>
      <c r="C66" s="202">
        <f t="shared" si="36"/>
        <v>65.123001000000002</v>
      </c>
      <c r="D66" s="202">
        <f t="shared" si="36"/>
        <v>79.468001999999998</v>
      </c>
      <c r="E66" s="202">
        <f t="shared" si="36"/>
        <v>87.223999000000006</v>
      </c>
      <c r="F66" s="202">
        <f t="shared" si="36"/>
        <v>124.667</v>
      </c>
      <c r="G66" s="202">
        <f t="shared" si="36"/>
        <v>165.628998</v>
      </c>
      <c r="H66" s="202">
        <f t="shared" si="36"/>
        <v>109.328003</v>
      </c>
      <c r="I66" s="202">
        <f t="shared" si="36"/>
        <v>107.514</v>
      </c>
      <c r="J66" s="202">
        <f t="shared" si="36"/>
        <v>160.03599500000001</v>
      </c>
      <c r="K66" s="202">
        <f t="shared" si="36"/>
        <v>227.52499399999999</v>
      </c>
      <c r="L66" s="202">
        <f t="shared" si="36"/>
        <v>371.46301299999999</v>
      </c>
      <c r="M66" s="211">
        <f t="shared" si="36"/>
        <v>293.45780044800006</v>
      </c>
      <c r="N66" s="211">
        <f t="shared" si="36"/>
        <v>428.13948570624007</v>
      </c>
      <c r="O66" s="211">
        <f t="shared" si="36"/>
        <v>449.54645999155213</v>
      </c>
      <c r="P66" s="142"/>
      <c r="Q66" s="142"/>
      <c r="R66" s="124"/>
      <c r="S66" s="124"/>
      <c r="T66" s="124"/>
      <c r="U66" s="124"/>
      <c r="V66" s="124"/>
      <c r="W66" s="125"/>
      <c r="X66" s="126"/>
      <c r="Y66" s="126"/>
      <c r="Z66" s="124"/>
      <c r="AA66" s="124"/>
      <c r="AB66" s="124"/>
      <c r="AC66" s="197"/>
      <c r="AD66" s="197"/>
      <c r="AE66" s="197"/>
      <c r="AF66" s="197"/>
      <c r="AG66" s="197"/>
      <c r="AH66" s="197"/>
      <c r="AI66" s="197"/>
      <c r="AJ66" s="197"/>
      <c r="AK66" s="197"/>
      <c r="AL66" s="197"/>
      <c r="AM66" s="197"/>
      <c r="AN66" s="197"/>
    </row>
    <row r="67" spans="1:40" outlineLevel="2" x14ac:dyDescent="0.3">
      <c r="A67" s="313" t="s">
        <v>568</v>
      </c>
      <c r="B67" s="314">
        <v>1</v>
      </c>
      <c r="C67" s="314">
        <v>1</v>
      </c>
      <c r="D67" s="314">
        <v>1</v>
      </c>
      <c r="E67" s="314">
        <v>1</v>
      </c>
      <c r="F67" s="314">
        <v>1</v>
      </c>
      <c r="G67" s="314">
        <v>1</v>
      </c>
      <c r="H67" s="314">
        <v>1</v>
      </c>
      <c r="I67" s="314">
        <v>1</v>
      </c>
      <c r="J67" s="314">
        <v>1</v>
      </c>
      <c r="K67" s="314">
        <v>1</v>
      </c>
      <c r="L67" s="314">
        <v>1</v>
      </c>
      <c r="M67" s="312">
        <v>1</v>
      </c>
      <c r="N67" s="312">
        <v>0.9</v>
      </c>
      <c r="O67" s="312">
        <v>0.9</v>
      </c>
      <c r="P67" s="142"/>
      <c r="Q67" s="142"/>
      <c r="R67" s="124"/>
      <c r="S67" s="124"/>
      <c r="T67" s="124"/>
      <c r="U67" s="124"/>
      <c r="V67" s="124"/>
      <c r="W67" s="125"/>
      <c r="X67" s="126"/>
      <c r="Y67" s="126"/>
      <c r="Z67" s="124"/>
      <c r="AA67" s="124"/>
      <c r="AB67" s="124"/>
      <c r="AC67" s="197"/>
      <c r="AD67" s="197"/>
      <c r="AE67" s="197"/>
      <c r="AF67" s="197"/>
      <c r="AG67" s="197"/>
      <c r="AH67" s="197"/>
      <c r="AI67" s="197"/>
      <c r="AJ67" s="197"/>
      <c r="AK67" s="197"/>
      <c r="AL67" s="197"/>
      <c r="AM67" s="197"/>
      <c r="AN67" s="197"/>
    </row>
    <row r="68" spans="1:40" outlineLevel="2" x14ac:dyDescent="0.3">
      <c r="A68" s="200" t="s">
        <v>98</v>
      </c>
      <c r="B68" s="202">
        <f t="shared" ref="B68:Q68" si="37">(B61/B11)*1000000</f>
        <v>602.81816363636358</v>
      </c>
      <c r="C68" s="202">
        <f t="shared" si="37"/>
        <v>407.01875625000002</v>
      </c>
      <c r="D68" s="202">
        <f t="shared" si="37"/>
        <v>454.10286857142853</v>
      </c>
      <c r="E68" s="202">
        <f t="shared" si="37"/>
        <v>545.14999375000002</v>
      </c>
      <c r="F68" s="202">
        <f t="shared" si="37"/>
        <v>831.11333333333334</v>
      </c>
      <c r="G68" s="202">
        <f t="shared" si="37"/>
        <v>1191.575525179856</v>
      </c>
      <c r="H68" s="202">
        <f t="shared" si="37"/>
        <v>860.85041732283457</v>
      </c>
      <c r="I68" s="202">
        <f t="shared" si="37"/>
        <v>820.71755725190837</v>
      </c>
      <c r="J68" s="202">
        <f t="shared" si="37"/>
        <v>1039.1947727272727</v>
      </c>
      <c r="K68" s="202">
        <f t="shared" si="37"/>
        <v>1259.1311234089651</v>
      </c>
      <c r="L68" s="202">
        <f t="shared" si="37"/>
        <v>1765.508616920152</v>
      </c>
      <c r="M68" s="211">
        <f t="shared" si="37"/>
        <v>1315.812649974891</v>
      </c>
      <c r="N68" s="211">
        <f t="shared" si="37"/>
        <v>1502.375011055999</v>
      </c>
      <c r="O68" s="211">
        <f t="shared" si="37"/>
        <v>1474.2932351484103</v>
      </c>
      <c r="P68" s="211">
        <f t="shared" si="37"/>
        <v>1447.9665702350455</v>
      </c>
      <c r="Q68" s="211">
        <f t="shared" si="37"/>
        <v>1516.9173592938578</v>
      </c>
      <c r="R68" s="124"/>
      <c r="S68" s="124"/>
      <c r="T68" s="124"/>
      <c r="U68" s="124"/>
      <c r="V68" s="124"/>
      <c r="W68" s="125"/>
      <c r="X68" s="126"/>
      <c r="Y68" s="126"/>
      <c r="Z68" s="124"/>
      <c r="AA68" s="124"/>
      <c r="AB68" s="124"/>
      <c r="AC68" s="197"/>
      <c r="AD68" s="197"/>
      <c r="AE68" s="197"/>
      <c r="AF68" s="197"/>
      <c r="AG68" s="197"/>
      <c r="AH68" s="197"/>
      <c r="AI68" s="197"/>
      <c r="AJ68" s="197"/>
      <c r="AK68" s="197"/>
      <c r="AL68" s="197"/>
      <c r="AM68" s="197"/>
      <c r="AN68" s="197"/>
    </row>
    <row r="69" spans="1:40" outlineLevel="2" x14ac:dyDescent="0.3">
      <c r="A69" s="313" t="s">
        <v>97</v>
      </c>
      <c r="B69" s="201"/>
      <c r="C69" s="201">
        <f>C68/B68-1</f>
        <v>-0.32480674803368259</v>
      </c>
      <c r="D69" s="201">
        <f t="shared" ref="D69:Q69" si="38">D68/C68-1</f>
        <v>0.11568044862411297</v>
      </c>
      <c r="E69" s="201">
        <f t="shared" si="38"/>
        <v>0.20049889899396245</v>
      </c>
      <c r="F69" s="201">
        <f t="shared" si="38"/>
        <v>0.52455900735912531</v>
      </c>
      <c r="G69" s="201">
        <f t="shared" si="38"/>
        <v>0.43371003374572581</v>
      </c>
      <c r="H69" s="201">
        <f t="shared" si="38"/>
        <v>-0.27755278693484564</v>
      </c>
      <c r="I69" s="201">
        <f t="shared" si="38"/>
        <v>-4.6620015816145721E-2</v>
      </c>
      <c r="J69" s="201">
        <f t="shared" si="38"/>
        <v>0.26620268269502323</v>
      </c>
      <c r="K69" s="201">
        <f t="shared" si="38"/>
        <v>0.2116411248918133</v>
      </c>
      <c r="L69" s="201">
        <f t="shared" si="38"/>
        <v>0.40216422586729728</v>
      </c>
      <c r="M69" s="142">
        <f t="shared" si="38"/>
        <v>-0.2547118505316246</v>
      </c>
      <c r="N69" s="142">
        <f t="shared" si="38"/>
        <v>0.14178489702517161</v>
      </c>
      <c r="O69" s="142">
        <f t="shared" si="38"/>
        <v>-1.8691588785046731E-2</v>
      </c>
      <c r="P69" s="142">
        <f t="shared" si="38"/>
        <v>-1.7857142857143016E-2</v>
      </c>
      <c r="Q69" s="142">
        <f t="shared" si="38"/>
        <v>4.7619047619047894E-2</v>
      </c>
      <c r="R69" s="124"/>
      <c r="S69" s="124"/>
      <c r="T69" s="124"/>
      <c r="U69" s="124"/>
      <c r="V69" s="124"/>
      <c r="W69" s="125"/>
      <c r="X69" s="126"/>
      <c r="Y69" s="126"/>
      <c r="Z69" s="124"/>
      <c r="AA69" s="124"/>
      <c r="AB69" s="124"/>
      <c r="AC69" s="197"/>
      <c r="AD69" s="197"/>
      <c r="AE69" s="197"/>
      <c r="AF69" s="197"/>
      <c r="AG69" s="197"/>
      <c r="AH69" s="197"/>
      <c r="AI69" s="197"/>
      <c r="AJ69" s="197"/>
      <c r="AK69" s="197"/>
      <c r="AL69" s="197"/>
      <c r="AM69" s="197"/>
      <c r="AN69" s="197"/>
    </row>
    <row r="70" spans="1:40" outlineLevel="2" x14ac:dyDescent="0.3">
      <c r="A70" s="200"/>
      <c r="B70" s="201"/>
      <c r="C70" s="201"/>
      <c r="D70" s="201"/>
      <c r="E70" s="201"/>
      <c r="F70" s="201"/>
      <c r="G70" s="201"/>
      <c r="H70" s="201"/>
      <c r="I70" s="201"/>
      <c r="J70" s="201"/>
      <c r="K70" s="201"/>
      <c r="L70" s="201"/>
      <c r="M70" s="54"/>
      <c r="N70" s="54"/>
      <c r="O70" s="54"/>
      <c r="P70" s="54"/>
      <c r="Q70" s="54"/>
      <c r="R70" s="124"/>
      <c r="S70" s="124"/>
      <c r="T70" s="124"/>
      <c r="U70" s="124"/>
      <c r="V70" s="124"/>
      <c r="W70" s="125"/>
      <c r="X70" s="126"/>
      <c r="Y70" s="126"/>
      <c r="Z70" s="124"/>
      <c r="AA70" s="124"/>
      <c r="AB70" s="124"/>
      <c r="AC70" s="197"/>
      <c r="AD70" s="197"/>
      <c r="AE70" s="197"/>
      <c r="AF70" s="197"/>
      <c r="AG70" s="197"/>
      <c r="AH70" s="197"/>
      <c r="AI70" s="197"/>
      <c r="AJ70" s="197"/>
      <c r="AK70" s="197"/>
      <c r="AL70" s="197"/>
      <c r="AM70" s="197"/>
      <c r="AN70" s="197"/>
    </row>
    <row r="71" spans="1:40" ht="15.75" customHeight="1" outlineLevel="2" x14ac:dyDescent="0.3">
      <c r="A71" s="198" t="s">
        <v>99</v>
      </c>
      <c r="B71" s="202">
        <v>25.93</v>
      </c>
      <c r="C71" s="202">
        <v>31.618998999999999</v>
      </c>
      <c r="D71" s="202">
        <v>37.951999999999998</v>
      </c>
      <c r="E71" s="202">
        <v>41.984000999999999</v>
      </c>
      <c r="F71" s="202">
        <v>42.641998000000001</v>
      </c>
      <c r="G71" s="202">
        <v>39.662998000000002</v>
      </c>
      <c r="H71" s="202">
        <v>38.943001000000002</v>
      </c>
      <c r="I71" s="202">
        <v>42.497002000000002</v>
      </c>
      <c r="J71" s="202">
        <v>53.859000999999999</v>
      </c>
      <c r="K71" s="202">
        <v>93.732001999999994</v>
      </c>
      <c r="L71" s="202">
        <v>104.976997</v>
      </c>
      <c r="M71" s="211">
        <f>M23*M74</f>
        <v>109.043253668113</v>
      </c>
      <c r="N71" s="211">
        <f>N23*N74</f>
        <v>135.91729704960002</v>
      </c>
      <c r="O71" s="211">
        <f>O23*O74</f>
        <v>142.71316190208003</v>
      </c>
      <c r="P71" s="211">
        <f>P23*P74</f>
        <v>154.53159562209603</v>
      </c>
      <c r="Q71" s="211">
        <f>Q23*Q74</f>
        <v>169.98475518430567</v>
      </c>
      <c r="R71" s="124"/>
      <c r="T71" s="124"/>
      <c r="U71" s="124"/>
      <c r="V71" s="124"/>
      <c r="W71" s="125"/>
      <c r="X71" s="126"/>
      <c r="Y71" s="126"/>
      <c r="Z71" s="124"/>
      <c r="AA71" s="124"/>
      <c r="AB71" s="124"/>
      <c r="AC71" s="124"/>
      <c r="AD71" s="124"/>
      <c r="AE71" s="124"/>
      <c r="AF71" s="124"/>
      <c r="AG71" s="124"/>
      <c r="AH71" s="124"/>
      <c r="AI71" s="124"/>
      <c r="AJ71" s="124"/>
      <c r="AK71" s="124"/>
      <c r="AL71" s="124"/>
      <c r="AM71" s="124"/>
      <c r="AN71" s="124"/>
    </row>
    <row r="72" spans="1:40" ht="15.75" customHeight="1" outlineLevel="2" x14ac:dyDescent="0.3">
      <c r="A72" s="200" t="str">
        <f>A71&amp;" as a % of Revenue"</f>
        <v>Policy Acquisition and Underwriting Expenses as a % of Revenue</v>
      </c>
      <c r="B72" s="201">
        <f t="shared" ref="B72:Q72" si="39">B71/B45</f>
        <v>0.15901634317603411</v>
      </c>
      <c r="C72" s="201">
        <f t="shared" si="39"/>
        <v>0.13115127671223786</v>
      </c>
      <c r="D72" s="201">
        <f t="shared" si="39"/>
        <v>0.14256146347876716</v>
      </c>
      <c r="E72" s="201">
        <f t="shared" si="39"/>
        <v>0.14445710225610994</v>
      </c>
      <c r="F72" s="201">
        <f t="shared" si="39"/>
        <v>0.16227879133843287</v>
      </c>
      <c r="G72" s="201">
        <f t="shared" si="39"/>
        <v>0.16131497968463396</v>
      </c>
      <c r="H72" s="201">
        <f t="shared" si="39"/>
        <v>0.168313369811386</v>
      </c>
      <c r="I72" s="201">
        <f t="shared" si="39"/>
        <v>0.1750555150496575</v>
      </c>
      <c r="J72" s="201">
        <f t="shared" si="39"/>
        <v>0.19650903936456277</v>
      </c>
      <c r="K72" s="201">
        <f t="shared" si="39"/>
        <v>0.23136563282937364</v>
      </c>
      <c r="L72" s="201">
        <f t="shared" si="39"/>
        <v>0.21013765430986683</v>
      </c>
      <c r="M72" s="142">
        <f t="shared" si="39"/>
        <v>0.19668783596931333</v>
      </c>
      <c r="N72" s="142">
        <f t="shared" si="39"/>
        <v>0.18951951441797704</v>
      </c>
      <c r="O72" s="142">
        <f t="shared" si="39"/>
        <v>0.19047009493405462</v>
      </c>
      <c r="P72" s="142">
        <f t="shared" si="39"/>
        <v>0.19074551715682117</v>
      </c>
      <c r="Q72" s="142">
        <f t="shared" si="39"/>
        <v>0.19114755619758164</v>
      </c>
      <c r="R72" s="124"/>
      <c r="T72" s="124"/>
      <c r="U72" s="124"/>
      <c r="V72" s="124"/>
      <c r="W72" s="125"/>
      <c r="X72" s="126"/>
      <c r="Y72" s="126"/>
      <c r="Z72" s="124"/>
      <c r="AA72" s="124"/>
      <c r="AB72" s="124"/>
      <c r="AC72" s="124"/>
      <c r="AD72" s="124"/>
      <c r="AE72" s="124"/>
      <c r="AF72" s="124"/>
      <c r="AG72" s="124"/>
      <c r="AH72" s="124"/>
      <c r="AI72" s="124"/>
      <c r="AJ72" s="124"/>
      <c r="AK72" s="124"/>
      <c r="AL72" s="124"/>
      <c r="AM72" s="124"/>
      <c r="AN72" s="124"/>
    </row>
    <row r="73" spans="1:40" ht="15.75" customHeight="1" outlineLevel="2" x14ac:dyDescent="0.3">
      <c r="A73" s="200" t="s">
        <v>100</v>
      </c>
      <c r="B73" s="201"/>
      <c r="C73" s="201">
        <f>C71/B71-1</f>
        <v>0.21939834168916317</v>
      </c>
      <c r="D73" s="201">
        <f t="shared" ref="D73:L73" si="40">D71/C71-1</f>
        <v>0.20029100225468865</v>
      </c>
      <c r="E73" s="201">
        <f t="shared" si="40"/>
        <v>0.10623948672006756</v>
      </c>
      <c r="F73" s="201">
        <f t="shared" si="40"/>
        <v>1.5672565366030788E-2</v>
      </c>
      <c r="G73" s="201">
        <f t="shared" si="40"/>
        <v>-6.9860703994217177E-2</v>
      </c>
      <c r="H73" s="201">
        <f t="shared" si="40"/>
        <v>-1.8152863785032114E-2</v>
      </c>
      <c r="I73" s="201">
        <f t="shared" si="40"/>
        <v>9.126161078341144E-2</v>
      </c>
      <c r="J73" s="201">
        <f t="shared" si="40"/>
        <v>0.26736001283102273</v>
      </c>
      <c r="K73" s="201">
        <f t="shared" si="40"/>
        <v>0.74032195658437838</v>
      </c>
      <c r="L73" s="201">
        <f t="shared" si="40"/>
        <v>0.11996964494581053</v>
      </c>
      <c r="M73" s="142">
        <f>M71/L71-1</f>
        <v>3.873473984127207E-2</v>
      </c>
      <c r="N73" s="142">
        <f t="shared" ref="N73:Q73" si="41">N71/M71-1</f>
        <v>0.24645305855675947</v>
      </c>
      <c r="O73" s="142">
        <f t="shared" si="41"/>
        <v>5.0000000000000044E-2</v>
      </c>
      <c r="P73" s="142">
        <f t="shared" si="41"/>
        <v>8.2812499999999956E-2</v>
      </c>
      <c r="Q73" s="142">
        <f t="shared" si="41"/>
        <v>0.10000000000000031</v>
      </c>
      <c r="R73" s="124"/>
      <c r="T73" s="124"/>
      <c r="U73" s="124"/>
      <c r="V73" s="124"/>
      <c r="W73" s="125"/>
      <c r="X73" s="126"/>
      <c r="Y73" s="126"/>
      <c r="Z73" s="124"/>
      <c r="AA73" s="124"/>
      <c r="AB73" s="124"/>
      <c r="AC73" s="124"/>
      <c r="AD73" s="124"/>
      <c r="AE73" s="124"/>
      <c r="AF73" s="124"/>
      <c r="AG73" s="124"/>
      <c r="AH73" s="124"/>
      <c r="AI73" s="124"/>
      <c r="AJ73" s="124"/>
      <c r="AK73" s="124"/>
      <c r="AL73" s="124"/>
      <c r="AM73" s="124"/>
      <c r="AN73" s="124"/>
    </row>
    <row r="74" spans="1:40" ht="15.75" customHeight="1" outlineLevel="2" x14ac:dyDescent="0.3">
      <c r="A74" s="200" t="s">
        <v>101</v>
      </c>
      <c r="B74" s="201">
        <f t="shared" ref="B74:L74" si="42">B71/B23</f>
        <v>0.16453045685279188</v>
      </c>
      <c r="C74" s="201">
        <f t="shared" si="42"/>
        <v>0.13500853543979505</v>
      </c>
      <c r="D74" s="201">
        <f t="shared" si="42"/>
        <v>0.1505434351447838</v>
      </c>
      <c r="E74" s="201">
        <f t="shared" si="42"/>
        <v>0.14861593274336282</v>
      </c>
      <c r="F74" s="201">
        <f t="shared" si="42"/>
        <v>0.17504925287356324</v>
      </c>
      <c r="G74" s="201">
        <f t="shared" si="42"/>
        <v>0.1765939358860196</v>
      </c>
      <c r="H74" s="201">
        <f t="shared" si="42"/>
        <v>0.18248828959700095</v>
      </c>
      <c r="I74" s="201">
        <f t="shared" si="42"/>
        <v>0.19647250115580212</v>
      </c>
      <c r="J74" s="201">
        <f t="shared" si="42"/>
        <v>0.20517714666666667</v>
      </c>
      <c r="K74" s="201">
        <f t="shared" si="42"/>
        <v>0.24842831168831167</v>
      </c>
      <c r="L74" s="201">
        <f t="shared" si="42"/>
        <v>0.22643873382226054</v>
      </c>
      <c r="M74" s="273">
        <f>AVERAGE(H74:L74)</f>
        <v>0.21180099658600843</v>
      </c>
      <c r="N74" s="273">
        <v>0.2</v>
      </c>
      <c r="O74" s="273">
        <v>0.2</v>
      </c>
      <c r="P74" s="273">
        <v>0.2</v>
      </c>
      <c r="Q74" s="273">
        <v>0.2</v>
      </c>
      <c r="R74" s="124"/>
      <c r="T74" s="124"/>
      <c r="U74" s="124"/>
      <c r="V74" s="124"/>
      <c r="W74" s="125"/>
      <c r="X74" s="126"/>
      <c r="Y74" s="126"/>
      <c r="Z74" s="124"/>
      <c r="AA74" s="124"/>
      <c r="AB74" s="124"/>
      <c r="AC74" s="124"/>
      <c r="AD74" s="124"/>
      <c r="AE74" s="124"/>
      <c r="AF74" s="124"/>
      <c r="AG74" s="124"/>
      <c r="AH74" s="124"/>
      <c r="AI74" s="124"/>
      <c r="AJ74" s="124"/>
      <c r="AK74" s="124"/>
      <c r="AL74" s="124"/>
      <c r="AM74" s="124"/>
      <c r="AN74" s="124"/>
    </row>
    <row r="75" spans="1:40" ht="15.75" customHeight="1" outlineLevel="2" x14ac:dyDescent="0.3">
      <c r="A75" s="200" t="s">
        <v>97</v>
      </c>
      <c r="B75" s="201"/>
      <c r="C75" s="201">
        <f>C74/B74-1</f>
        <v>-0.17943134649781345</v>
      </c>
      <c r="D75" s="201">
        <f t="shared" ref="D75:Q75" si="43">D74/C74-1</f>
        <v>0.11506605604144404</v>
      </c>
      <c r="E75" s="201">
        <f t="shared" si="43"/>
        <v>-1.2803629726976906E-2</v>
      </c>
      <c r="F75" s="201">
        <f t="shared" si="43"/>
        <v>0.17786329932637002</v>
      </c>
      <c r="G75" s="201">
        <f t="shared" si="43"/>
        <v>8.8242765227457554E-3</v>
      </c>
      <c r="H75" s="201">
        <f t="shared" si="43"/>
        <v>3.3378007468986892E-2</v>
      </c>
      <c r="I75" s="201">
        <f t="shared" si="43"/>
        <v>7.6630733893573666E-2</v>
      </c>
      <c r="J75" s="201">
        <f t="shared" si="43"/>
        <v>4.4304650572762894E-2</v>
      </c>
      <c r="K75" s="201">
        <f t="shared" si="43"/>
        <v>0.21079913491492008</v>
      </c>
      <c r="L75" s="201">
        <f t="shared" si="43"/>
        <v>-8.8514782057691366E-2</v>
      </c>
      <c r="M75" s="142">
        <f t="shared" si="43"/>
        <v>-6.4643256872040977E-2</v>
      </c>
      <c r="N75" s="142">
        <f t="shared" si="43"/>
        <v>-5.5717379881242701E-2</v>
      </c>
      <c r="O75" s="142">
        <f t="shared" si="43"/>
        <v>0</v>
      </c>
      <c r="P75" s="142">
        <f t="shared" si="43"/>
        <v>0</v>
      </c>
      <c r="Q75" s="142">
        <f t="shared" si="43"/>
        <v>0</v>
      </c>
      <c r="R75" s="124"/>
      <c r="T75" s="124"/>
      <c r="U75" s="124"/>
      <c r="V75" s="124"/>
      <c r="W75" s="125"/>
      <c r="X75" s="126"/>
      <c r="Y75" s="126"/>
      <c r="Z75" s="124"/>
      <c r="AA75" s="124"/>
      <c r="AB75" s="124"/>
      <c r="AC75" s="124"/>
      <c r="AD75" s="124"/>
      <c r="AE75" s="124"/>
      <c r="AF75" s="124"/>
      <c r="AG75" s="124"/>
      <c r="AH75" s="124"/>
      <c r="AI75" s="124"/>
      <c r="AJ75" s="124"/>
      <c r="AK75" s="124"/>
      <c r="AL75" s="124"/>
      <c r="AM75" s="124"/>
      <c r="AN75" s="124"/>
    </row>
    <row r="76" spans="1:40" ht="15.75" customHeight="1" outlineLevel="2" x14ac:dyDescent="0.3">
      <c r="A76" s="200" t="s">
        <v>102</v>
      </c>
      <c r="B76" s="202">
        <f t="shared" ref="B76:Q76" si="44">(B71/B11)*1000000</f>
        <v>235.72727272727272</v>
      </c>
      <c r="C76" s="202">
        <f t="shared" si="44"/>
        <v>197.61874374999999</v>
      </c>
      <c r="D76" s="202">
        <f t="shared" si="44"/>
        <v>216.86857142857141</v>
      </c>
      <c r="E76" s="202">
        <f t="shared" si="44"/>
        <v>262.40000624999999</v>
      </c>
      <c r="F76" s="202">
        <f t="shared" si="44"/>
        <v>284.27998666666667</v>
      </c>
      <c r="G76" s="202">
        <f t="shared" si="44"/>
        <v>285.34530935251797</v>
      </c>
      <c r="H76" s="202">
        <f t="shared" si="44"/>
        <v>306.63780314960627</v>
      </c>
      <c r="I76" s="202">
        <f t="shared" si="44"/>
        <v>324.40459541984734</v>
      </c>
      <c r="J76" s="202">
        <f t="shared" si="44"/>
        <v>349.73377272727271</v>
      </c>
      <c r="K76" s="202">
        <f t="shared" si="44"/>
        <v>518.71611510791365</v>
      </c>
      <c r="L76" s="202">
        <f t="shared" si="44"/>
        <v>498.94009980988596</v>
      </c>
      <c r="M76" s="211">
        <f t="shared" si="44"/>
        <v>488.93057997396244</v>
      </c>
      <c r="N76" s="211">
        <f t="shared" si="44"/>
        <v>529.93827550476158</v>
      </c>
      <c r="O76" s="211">
        <f t="shared" si="44"/>
        <v>520.03288717756971</v>
      </c>
      <c r="P76" s="211">
        <f t="shared" si="44"/>
        <v>536.2839149018688</v>
      </c>
      <c r="Q76" s="211">
        <f t="shared" si="44"/>
        <v>561.82124418291016</v>
      </c>
      <c r="R76" s="124"/>
      <c r="T76" s="124"/>
      <c r="U76" s="124"/>
      <c r="V76" s="124"/>
      <c r="W76" s="125"/>
      <c r="X76" s="126"/>
      <c r="Y76" s="126"/>
      <c r="Z76" s="124"/>
      <c r="AA76" s="124"/>
      <c r="AB76" s="124"/>
      <c r="AC76" s="124"/>
      <c r="AD76" s="124"/>
      <c r="AE76" s="124"/>
      <c r="AF76" s="124"/>
      <c r="AG76" s="124"/>
      <c r="AH76" s="124"/>
      <c r="AI76" s="124"/>
      <c r="AJ76" s="124"/>
      <c r="AK76" s="124"/>
      <c r="AL76" s="124"/>
      <c r="AM76" s="124"/>
      <c r="AN76" s="124"/>
    </row>
    <row r="77" spans="1:40" ht="15.75" customHeight="1" outlineLevel="2" x14ac:dyDescent="0.3">
      <c r="A77" s="200" t="s">
        <v>97</v>
      </c>
      <c r="B77" s="201"/>
      <c r="C77" s="201">
        <f>C76/B76-1</f>
        <v>-0.16166364008870038</v>
      </c>
      <c r="D77" s="201">
        <f t="shared" ref="D77:Q77" si="45">D76/C76-1</f>
        <v>9.7408916347143881E-2</v>
      </c>
      <c r="E77" s="201">
        <f t="shared" si="45"/>
        <v>0.20994943860007376</v>
      </c>
      <c r="F77" s="201">
        <f t="shared" si="45"/>
        <v>8.3384069723766219E-2</v>
      </c>
      <c r="G77" s="201">
        <f t="shared" si="45"/>
        <v>3.7474417328591247E-3</v>
      </c>
      <c r="H77" s="201">
        <f t="shared" si="45"/>
        <v>7.4620093967563195E-2</v>
      </c>
      <c r="I77" s="201">
        <f t="shared" si="45"/>
        <v>5.7940645568650861E-2</v>
      </c>
      <c r="J77" s="201">
        <f t="shared" si="45"/>
        <v>7.8078971953662091E-2</v>
      </c>
      <c r="K77" s="201">
        <f t="shared" si="45"/>
        <v>0.48317421867180022</v>
      </c>
      <c r="L77" s="201">
        <f t="shared" si="45"/>
        <v>-3.8124929459562806E-2</v>
      </c>
      <c r="M77" s="142">
        <f t="shared" si="45"/>
        <v>-2.0061566187479229E-2</v>
      </c>
      <c r="N77" s="142">
        <f t="shared" si="45"/>
        <v>8.387222483196477E-2</v>
      </c>
      <c r="O77" s="142">
        <f t="shared" si="45"/>
        <v>-1.8691588785046842E-2</v>
      </c>
      <c r="P77" s="142">
        <f t="shared" si="45"/>
        <v>3.125E-2</v>
      </c>
      <c r="Q77" s="142">
        <f t="shared" si="45"/>
        <v>4.7619047619047672E-2</v>
      </c>
      <c r="R77" s="124"/>
      <c r="T77" s="124"/>
      <c r="U77" s="124"/>
      <c r="V77" s="124"/>
      <c r="W77" s="125"/>
      <c r="X77" s="126"/>
      <c r="Y77" s="126"/>
      <c r="Z77" s="124"/>
      <c r="AA77" s="124"/>
      <c r="AB77" s="124"/>
      <c r="AC77" s="124"/>
      <c r="AD77" s="124"/>
      <c r="AE77" s="124"/>
      <c r="AF77" s="124"/>
      <c r="AG77" s="124"/>
      <c r="AH77" s="124"/>
      <c r="AI77" s="124"/>
      <c r="AJ77" s="124"/>
      <c r="AK77" s="124"/>
      <c r="AL77" s="124"/>
      <c r="AM77" s="124"/>
      <c r="AN77" s="124"/>
    </row>
    <row r="78" spans="1:40" outlineLevel="2" x14ac:dyDescent="0.3">
      <c r="A78" s="198"/>
      <c r="B78" s="202"/>
      <c r="C78" s="202"/>
      <c r="D78" s="202"/>
      <c r="E78" s="202"/>
      <c r="F78" s="202"/>
      <c r="G78" s="202"/>
      <c r="H78" s="202"/>
      <c r="I78" s="202"/>
      <c r="J78" s="202"/>
      <c r="K78" s="202"/>
      <c r="L78" s="202"/>
      <c r="M78" s="211"/>
      <c r="N78" s="211"/>
      <c r="O78" s="211"/>
      <c r="P78" s="211"/>
      <c r="Q78" s="211"/>
      <c r="R78" s="124"/>
      <c r="T78" s="124"/>
      <c r="U78" s="124"/>
      <c r="V78" s="124"/>
      <c r="W78" s="125"/>
      <c r="X78" s="126"/>
      <c r="Y78" s="126"/>
      <c r="Z78" s="124"/>
      <c r="AA78" s="124"/>
      <c r="AB78" s="124"/>
      <c r="AC78" s="124"/>
      <c r="AD78" s="124"/>
      <c r="AE78" s="124"/>
      <c r="AF78" s="124"/>
      <c r="AG78" s="124"/>
      <c r="AH78" s="124"/>
      <c r="AI78" s="124"/>
      <c r="AJ78" s="124"/>
      <c r="AK78" s="124"/>
      <c r="AL78" s="124"/>
      <c r="AM78" s="124"/>
      <c r="AN78" s="124"/>
    </row>
    <row r="79" spans="1:40" outlineLevel="2" x14ac:dyDescent="0.3">
      <c r="A79" s="198" t="s">
        <v>103</v>
      </c>
      <c r="B79" s="202">
        <v>10.545</v>
      </c>
      <c r="C79" s="202">
        <v>14.714</v>
      </c>
      <c r="D79" s="202">
        <v>16.483000000000001</v>
      </c>
      <c r="E79" s="202">
        <v>28.275998999999999</v>
      </c>
      <c r="F79" s="202">
        <v>26.200001</v>
      </c>
      <c r="G79" s="202">
        <v>25.127001</v>
      </c>
      <c r="H79" s="202">
        <v>25.908000999999999</v>
      </c>
      <c r="I79" s="202">
        <v>31.111999999999998</v>
      </c>
      <c r="J79" s="202">
        <v>33.828999000000003</v>
      </c>
      <c r="K79" s="202">
        <v>45.428001000000002</v>
      </c>
      <c r="L79" s="202">
        <v>56.511001999999998</v>
      </c>
      <c r="M79" s="211">
        <f>M23*M82</f>
        <v>65.530090209795887</v>
      </c>
      <c r="N79" s="211">
        <f>N23*N82</f>
        <v>81.550378229760014</v>
      </c>
      <c r="O79" s="211">
        <f>O23*O82</f>
        <v>85.627897141248013</v>
      </c>
      <c r="P79" s="211">
        <f>P23*P82</f>
        <v>92.718957373257609</v>
      </c>
      <c r="Q79" s="211">
        <f>Q23*Q82</f>
        <v>101.99085311058339</v>
      </c>
      <c r="R79" s="124"/>
      <c r="S79" s="124"/>
      <c r="T79" s="124"/>
      <c r="U79" s="124"/>
      <c r="V79" s="124"/>
      <c r="W79" s="125"/>
      <c r="X79" s="126"/>
      <c r="Y79" s="126"/>
      <c r="Z79" s="124"/>
      <c r="AA79" s="124"/>
      <c r="AB79" s="124"/>
      <c r="AC79" s="197"/>
      <c r="AD79" s="197"/>
      <c r="AE79" s="197"/>
      <c r="AF79" s="197"/>
      <c r="AG79" s="197"/>
      <c r="AH79" s="197"/>
      <c r="AI79" s="197"/>
      <c r="AJ79" s="197"/>
      <c r="AK79" s="197"/>
      <c r="AL79" s="197"/>
      <c r="AM79" s="197"/>
      <c r="AN79" s="197"/>
    </row>
    <row r="80" spans="1:40" outlineLevel="2" x14ac:dyDescent="0.3">
      <c r="A80" s="200" t="str">
        <f>A79&amp;" as a % of Revenue"</f>
        <v>Salaries, Wages, and Administrative Personnel Expenses as a % of Revenue</v>
      </c>
      <c r="B80" s="201">
        <f t="shared" ref="B80:Q80" si="46">B79/B45</f>
        <v>6.4667463894765895E-2</v>
      </c>
      <c r="C80" s="201">
        <f t="shared" si="46"/>
        <v>6.1031656490576056E-2</v>
      </c>
      <c r="D80" s="201">
        <f t="shared" si="46"/>
        <v>6.1916120428976588E-2</v>
      </c>
      <c r="E80" s="201">
        <f t="shared" si="46"/>
        <v>9.7291081879896643E-2</v>
      </c>
      <c r="F80" s="201">
        <f t="shared" si="46"/>
        <v>9.9706971876546036E-2</v>
      </c>
      <c r="G80" s="201">
        <f t="shared" si="46"/>
        <v>0.10219503971562555</v>
      </c>
      <c r="H80" s="201">
        <f t="shared" si="46"/>
        <v>0.11197552426395586</v>
      </c>
      <c r="I80" s="201">
        <f t="shared" si="46"/>
        <v>0.12815791533306145</v>
      </c>
      <c r="J80" s="201">
        <f t="shared" si="46"/>
        <v>0.12342791311993988</v>
      </c>
      <c r="K80" s="201">
        <f t="shared" si="46"/>
        <v>0.11213329466214132</v>
      </c>
      <c r="L80" s="201">
        <f t="shared" si="46"/>
        <v>0.11312087164181495</v>
      </c>
      <c r="M80" s="142">
        <f t="shared" si="46"/>
        <v>0.11820054153435169</v>
      </c>
      <c r="N80" s="142">
        <f t="shared" si="46"/>
        <v>0.11371170865078623</v>
      </c>
      <c r="O80" s="142">
        <f t="shared" si="46"/>
        <v>0.11428205696043275</v>
      </c>
      <c r="P80" s="142">
        <f t="shared" si="46"/>
        <v>0.11444731029409269</v>
      </c>
      <c r="Q80" s="142">
        <f t="shared" si="46"/>
        <v>0.11468853371854898</v>
      </c>
      <c r="R80" s="124"/>
      <c r="S80" s="124"/>
      <c r="T80" s="124"/>
      <c r="U80" s="124"/>
      <c r="V80" s="124"/>
      <c r="W80" s="125"/>
      <c r="X80" s="126"/>
      <c r="Y80" s="126"/>
      <c r="Z80" s="124"/>
      <c r="AA80" s="124"/>
      <c r="AB80" s="124"/>
      <c r="AC80" s="197"/>
      <c r="AD80" s="197"/>
      <c r="AE80" s="197"/>
      <c r="AF80" s="197"/>
      <c r="AG80" s="197"/>
      <c r="AH80" s="197"/>
      <c r="AI80" s="197"/>
      <c r="AJ80" s="197"/>
      <c r="AK80" s="197"/>
      <c r="AL80" s="197"/>
      <c r="AM80" s="197"/>
      <c r="AN80" s="197"/>
    </row>
    <row r="81" spans="1:40" outlineLevel="2" x14ac:dyDescent="0.3">
      <c r="A81" s="200" t="s">
        <v>104</v>
      </c>
      <c r="B81" s="201"/>
      <c r="C81" s="201">
        <f>C79/B79-1</f>
        <v>0.39535324798482696</v>
      </c>
      <c r="D81" s="201">
        <f t="shared" ref="D81:Q81" si="47">D79/C79-1</f>
        <v>0.12022563544923193</v>
      </c>
      <c r="E81" s="201">
        <f t="shared" si="47"/>
        <v>0.71546435721652601</v>
      </c>
      <c r="F81" s="201">
        <f t="shared" si="47"/>
        <v>-7.3419085918060678E-2</v>
      </c>
      <c r="G81" s="201">
        <f t="shared" si="47"/>
        <v>-4.0954196910145124E-2</v>
      </c>
      <c r="H81" s="201">
        <f t="shared" si="47"/>
        <v>3.1082101680180552E-2</v>
      </c>
      <c r="I81" s="201">
        <f t="shared" si="47"/>
        <v>0.20086455145651727</v>
      </c>
      <c r="J81" s="201">
        <f t="shared" si="47"/>
        <v>8.7329615582412146E-2</v>
      </c>
      <c r="K81" s="201">
        <f t="shared" si="47"/>
        <v>0.3428715700396574</v>
      </c>
      <c r="L81" s="201">
        <f t="shared" si="47"/>
        <v>0.24396849423332534</v>
      </c>
      <c r="M81" s="142">
        <f t="shared" si="47"/>
        <v>0.15959880183678021</v>
      </c>
      <c r="N81" s="142">
        <f t="shared" si="47"/>
        <v>0.24447224120514499</v>
      </c>
      <c r="O81" s="142">
        <f t="shared" si="47"/>
        <v>5.0000000000000044E-2</v>
      </c>
      <c r="P81" s="142">
        <f t="shared" si="47"/>
        <v>8.2812499999999956E-2</v>
      </c>
      <c r="Q81" s="142">
        <f t="shared" si="47"/>
        <v>0.10000000000000009</v>
      </c>
      <c r="R81" s="124"/>
      <c r="S81" s="124"/>
      <c r="T81" s="124"/>
      <c r="U81" s="124"/>
      <c r="V81" s="124"/>
      <c r="W81" s="125"/>
      <c r="X81" s="126"/>
      <c r="Y81" s="126"/>
      <c r="Z81" s="124"/>
      <c r="AA81" s="124"/>
      <c r="AB81" s="124"/>
      <c r="AC81" s="197"/>
      <c r="AD81" s="197"/>
      <c r="AE81" s="197"/>
      <c r="AF81" s="197"/>
      <c r="AG81" s="197"/>
      <c r="AH81" s="197"/>
      <c r="AI81" s="197"/>
      <c r="AJ81" s="197"/>
      <c r="AK81" s="197"/>
      <c r="AL81" s="197"/>
      <c r="AM81" s="197"/>
      <c r="AN81" s="197"/>
    </row>
    <row r="82" spans="1:40" outlineLevel="2" x14ac:dyDescent="0.3">
      <c r="A82" s="200" t="s">
        <v>497</v>
      </c>
      <c r="B82" s="201">
        <f t="shared" ref="B82:L82" si="48">B79/B23</f>
        <v>6.6909898477157365E-2</v>
      </c>
      <c r="C82" s="201">
        <f t="shared" si="48"/>
        <v>6.2826643894107609E-2</v>
      </c>
      <c r="D82" s="201">
        <f t="shared" si="48"/>
        <v>6.5382784609282041E-2</v>
      </c>
      <c r="E82" s="201">
        <f t="shared" si="48"/>
        <v>0.10009203185840708</v>
      </c>
      <c r="F82" s="201">
        <f t="shared" si="48"/>
        <v>0.10755337027914615</v>
      </c>
      <c r="G82" s="201">
        <f t="shared" si="48"/>
        <v>0.11187444790739091</v>
      </c>
      <c r="H82" s="201">
        <f t="shared" si="48"/>
        <v>0.1214058153701968</v>
      </c>
      <c r="I82" s="201">
        <f t="shared" si="48"/>
        <v>0.14383726306056402</v>
      </c>
      <c r="J82" s="201">
        <f t="shared" si="48"/>
        <v>0.12887237714285715</v>
      </c>
      <c r="K82" s="201">
        <f t="shared" si="48"/>
        <v>0.12040286509408958</v>
      </c>
      <c r="L82" s="201">
        <f t="shared" si="48"/>
        <v>0.12189603537532355</v>
      </c>
      <c r="M82" s="273">
        <f>AVERAGE(H82:L82)</f>
        <v>0.12728287120860621</v>
      </c>
      <c r="N82" s="273">
        <v>0.12</v>
      </c>
      <c r="O82" s="273">
        <v>0.12</v>
      </c>
      <c r="P82" s="273">
        <v>0.12</v>
      </c>
      <c r="Q82" s="273">
        <v>0.12</v>
      </c>
      <c r="R82" s="124"/>
      <c r="S82" s="124"/>
      <c r="T82" s="124"/>
      <c r="U82" s="124"/>
      <c r="V82" s="124"/>
      <c r="W82" s="125"/>
      <c r="X82" s="126"/>
      <c r="Y82" s="126"/>
      <c r="Z82" s="124"/>
      <c r="AA82" s="124"/>
      <c r="AB82" s="124"/>
      <c r="AC82" s="197"/>
      <c r="AD82" s="197"/>
      <c r="AE82" s="197"/>
      <c r="AF82" s="197"/>
      <c r="AG82" s="197"/>
      <c r="AH82" s="197"/>
      <c r="AI82" s="197"/>
      <c r="AJ82" s="197"/>
      <c r="AK82" s="197"/>
      <c r="AL82" s="197"/>
      <c r="AM82" s="197"/>
      <c r="AN82" s="197"/>
    </row>
    <row r="83" spans="1:40" outlineLevel="2" x14ac:dyDescent="0.3">
      <c r="A83" s="200" t="s">
        <v>97</v>
      </c>
      <c r="B83" s="201"/>
      <c r="C83" s="201">
        <f>C82/B82-1</f>
        <v>-6.1026166172464813E-2</v>
      </c>
      <c r="D83" s="201">
        <f t="shared" ref="D83:Q83" si="49">D82/C82-1</f>
        <v>4.06856161134872E-2</v>
      </c>
      <c r="E83" s="201">
        <f t="shared" si="49"/>
        <v>0.53086217505942002</v>
      </c>
      <c r="F83" s="201">
        <f t="shared" si="49"/>
        <v>7.4544779261690675E-2</v>
      </c>
      <c r="G83" s="201">
        <f t="shared" si="49"/>
        <v>4.0176124811614589E-2</v>
      </c>
      <c r="H83" s="201">
        <f t="shared" si="49"/>
        <v>8.5197001112317539E-2</v>
      </c>
      <c r="I83" s="201">
        <f t="shared" si="49"/>
        <v>0.18476419454840864</v>
      </c>
      <c r="J83" s="201">
        <f t="shared" si="49"/>
        <v>-0.10404039676009247</v>
      </c>
      <c r="K83" s="201">
        <f t="shared" si="49"/>
        <v>-6.5720150714524195E-2</v>
      </c>
      <c r="L83" s="201">
        <f t="shared" si="49"/>
        <v>1.2401451411202968E-2</v>
      </c>
      <c r="M83" s="142">
        <f t="shared" si="49"/>
        <v>4.4192051174563041E-2</v>
      </c>
      <c r="N83" s="142">
        <f t="shared" si="49"/>
        <v>-5.7217999087011306E-2</v>
      </c>
      <c r="O83" s="142">
        <f t="shared" si="49"/>
        <v>0</v>
      </c>
      <c r="P83" s="142">
        <f t="shared" si="49"/>
        <v>0</v>
      </c>
      <c r="Q83" s="142">
        <f t="shared" si="49"/>
        <v>0</v>
      </c>
      <c r="R83" s="124"/>
      <c r="S83" s="124"/>
      <c r="T83" s="124"/>
      <c r="U83" s="124"/>
      <c r="V83" s="124"/>
      <c r="W83" s="125"/>
      <c r="X83" s="126"/>
      <c r="Y83" s="126"/>
      <c r="Z83" s="124"/>
      <c r="AA83" s="124"/>
      <c r="AB83" s="124"/>
      <c r="AC83" s="197"/>
      <c r="AD83" s="197"/>
      <c r="AE83" s="197"/>
      <c r="AF83" s="197"/>
      <c r="AG83" s="197"/>
      <c r="AH83" s="197"/>
      <c r="AI83" s="197"/>
      <c r="AJ83" s="197"/>
      <c r="AK83" s="197"/>
      <c r="AL83" s="197"/>
      <c r="AM83" s="197"/>
      <c r="AN83" s="197"/>
    </row>
    <row r="84" spans="1:40" outlineLevel="2" x14ac:dyDescent="0.3">
      <c r="A84" s="200" t="s">
        <v>569</v>
      </c>
      <c r="B84" s="202">
        <f t="shared" ref="B84:Q84" si="50">(B79/B11)*1000000</f>
        <v>95.86363636363636</v>
      </c>
      <c r="C84" s="202">
        <f t="shared" si="50"/>
        <v>91.962500000000006</v>
      </c>
      <c r="D84" s="202">
        <f t="shared" si="50"/>
        <v>94.188571428571422</v>
      </c>
      <c r="E84" s="202">
        <f t="shared" si="50"/>
        <v>176.72499375000001</v>
      </c>
      <c r="F84" s="202">
        <f t="shared" si="50"/>
        <v>174.66667333333334</v>
      </c>
      <c r="G84" s="202">
        <f t="shared" si="50"/>
        <v>180.76979136690647</v>
      </c>
      <c r="H84" s="202">
        <f t="shared" si="50"/>
        <v>204.00000787401572</v>
      </c>
      <c r="I84" s="202">
        <f t="shared" si="50"/>
        <v>237.49618320610685</v>
      </c>
      <c r="J84" s="202">
        <f t="shared" si="50"/>
        <v>219.66882467532471</v>
      </c>
      <c r="K84" s="202">
        <f t="shared" si="50"/>
        <v>251.40011621472055</v>
      </c>
      <c r="L84" s="202">
        <f t="shared" si="50"/>
        <v>268.58841254752855</v>
      </c>
      <c r="M84" s="211">
        <f t="shared" si="50"/>
        <v>293.8252843182612</v>
      </c>
      <c r="N84" s="211">
        <f t="shared" si="50"/>
        <v>317.96296530285696</v>
      </c>
      <c r="O84" s="211">
        <f t="shared" si="50"/>
        <v>312.01973230654181</v>
      </c>
      <c r="P84" s="211">
        <f t="shared" si="50"/>
        <v>321.7703489411212</v>
      </c>
      <c r="Q84" s="211">
        <f t="shared" si="50"/>
        <v>337.09274650974612</v>
      </c>
      <c r="R84" s="124"/>
      <c r="S84" s="124"/>
      <c r="T84" s="124"/>
      <c r="U84" s="124"/>
      <c r="V84" s="124"/>
      <c r="W84" s="125"/>
      <c r="X84" s="126"/>
      <c r="Y84" s="126"/>
      <c r="Z84" s="124"/>
      <c r="AA84" s="124"/>
      <c r="AB84" s="124"/>
      <c r="AC84" s="197"/>
      <c r="AD84" s="197"/>
      <c r="AE84" s="197"/>
      <c r="AF84" s="197"/>
      <c r="AG84" s="197"/>
      <c r="AH84" s="197"/>
      <c r="AI84" s="197"/>
      <c r="AJ84" s="197"/>
      <c r="AK84" s="197"/>
      <c r="AL84" s="197"/>
      <c r="AM84" s="197"/>
      <c r="AN84" s="197"/>
    </row>
    <row r="85" spans="1:40" outlineLevel="2" x14ac:dyDescent="0.3">
      <c r="A85" s="200" t="s">
        <v>97</v>
      </c>
      <c r="B85" s="201"/>
      <c r="C85" s="201">
        <f>C84/B84-1</f>
        <v>-4.0694642010431381E-2</v>
      </c>
      <c r="D85" s="201">
        <f t="shared" ref="D85:Q85" si="51">D84/C84-1</f>
        <v>2.4206295267869216E-2</v>
      </c>
      <c r="E85" s="201">
        <f t="shared" si="51"/>
        <v>0.87628914070557573</v>
      </c>
      <c r="F85" s="201">
        <f t="shared" si="51"/>
        <v>-1.1647024979264842E-2</v>
      </c>
      <c r="G85" s="201">
        <f t="shared" si="51"/>
        <v>3.4941514125742534E-2</v>
      </c>
      <c r="H85" s="201">
        <f t="shared" si="51"/>
        <v>0.12850718215389834</v>
      </c>
      <c r="I85" s="201">
        <f t="shared" si="51"/>
        <v>0.16419693156471515</v>
      </c>
      <c r="J85" s="201">
        <f t="shared" si="51"/>
        <v>-7.5063768563013E-2</v>
      </c>
      <c r="K85" s="201">
        <f t="shared" si="51"/>
        <v>0.14445059095798141</v>
      </c>
      <c r="L85" s="201">
        <f t="shared" si="51"/>
        <v>6.8370279980807469E-2</v>
      </c>
      <c r="M85" s="142">
        <f t="shared" si="51"/>
        <v>9.3961133808283082E-2</v>
      </c>
      <c r="N85" s="142">
        <f t="shared" si="51"/>
        <v>8.2149774960995847E-2</v>
      </c>
      <c r="O85" s="142">
        <f t="shared" si="51"/>
        <v>-1.8691588785046953E-2</v>
      </c>
      <c r="P85" s="142">
        <f t="shared" si="51"/>
        <v>3.1249999999999778E-2</v>
      </c>
      <c r="Q85" s="142">
        <f t="shared" si="51"/>
        <v>4.7619047619047894E-2</v>
      </c>
      <c r="R85" s="124"/>
      <c r="S85" s="124"/>
      <c r="T85" s="124"/>
      <c r="U85" s="124"/>
      <c r="V85" s="124"/>
      <c r="W85" s="125"/>
      <c r="X85" s="126"/>
      <c r="Y85" s="126"/>
      <c r="Z85" s="124"/>
      <c r="AA85" s="124"/>
      <c r="AB85" s="124"/>
      <c r="AC85" s="197"/>
      <c r="AD85" s="197"/>
      <c r="AE85" s="197"/>
      <c r="AF85" s="197"/>
      <c r="AG85" s="197"/>
      <c r="AH85" s="197"/>
      <c r="AI85" s="197"/>
      <c r="AJ85" s="197"/>
      <c r="AK85" s="197"/>
      <c r="AL85" s="197"/>
      <c r="AM85" s="197"/>
      <c r="AN85" s="197"/>
    </row>
    <row r="86" spans="1:40" outlineLevel="2" x14ac:dyDescent="0.3">
      <c r="A86" s="200"/>
      <c r="B86" s="201"/>
      <c r="C86" s="201"/>
      <c r="D86" s="201"/>
      <c r="E86" s="201"/>
      <c r="F86" s="201"/>
      <c r="G86" s="201"/>
      <c r="H86" s="201"/>
      <c r="I86" s="201"/>
      <c r="J86" s="201"/>
      <c r="K86" s="201"/>
      <c r="L86" s="201"/>
      <c r="M86" s="54"/>
      <c r="N86" s="54"/>
      <c r="O86" s="54"/>
      <c r="P86" s="54"/>
      <c r="Q86" s="54"/>
      <c r="R86" s="124"/>
      <c r="S86" s="124"/>
      <c r="T86" s="124"/>
      <c r="U86" s="124"/>
      <c r="V86" s="124"/>
      <c r="W86" s="125"/>
      <c r="X86" s="126"/>
      <c r="Y86" s="126"/>
      <c r="Z86" s="124"/>
      <c r="AA86" s="124"/>
      <c r="AB86" s="124"/>
      <c r="AC86" s="197"/>
      <c r="AD86" s="197"/>
      <c r="AE86" s="197"/>
      <c r="AF86" s="197"/>
      <c r="AG86" s="197"/>
      <c r="AH86" s="197"/>
      <c r="AI86" s="197"/>
      <c r="AJ86" s="197"/>
      <c r="AK86" s="197"/>
      <c r="AL86" s="197"/>
      <c r="AM86" s="197"/>
      <c r="AN86" s="197"/>
    </row>
    <row r="87" spans="1:40" outlineLevel="2" x14ac:dyDescent="0.3">
      <c r="A87" s="198" t="s">
        <v>492</v>
      </c>
      <c r="B87" s="202">
        <v>10.54</v>
      </c>
      <c r="C87" s="202">
        <v>19.57</v>
      </c>
      <c r="D87" s="202">
        <v>20.79</v>
      </c>
      <c r="E87" s="202">
        <v>11.52</v>
      </c>
      <c r="F87" s="202">
        <v>12.61</v>
      </c>
      <c r="G87" s="202">
        <v>12.06</v>
      </c>
      <c r="H87" s="202">
        <v>12.12</v>
      </c>
      <c r="I87" s="202">
        <v>12.2</v>
      </c>
      <c r="J87" s="202">
        <v>13.8</v>
      </c>
      <c r="K87" s="202">
        <v>21.84</v>
      </c>
      <c r="L87" s="202">
        <v>24.98</v>
      </c>
      <c r="M87" s="211">
        <f>M23*M89</f>
        <v>28.577327703339829</v>
      </c>
      <c r="N87" s="211">
        <f>N23*N89</f>
        <v>33.979324262400006</v>
      </c>
      <c r="O87" s="211">
        <f>O23*O89</f>
        <v>35.678290475520008</v>
      </c>
      <c r="P87" s="211">
        <f>P23*P89</f>
        <v>41.72353081796593</v>
      </c>
      <c r="Q87" s="211">
        <f>Q23*Q89</f>
        <v>45.895883899762531</v>
      </c>
      <c r="R87" s="124"/>
      <c r="S87" s="124"/>
      <c r="T87" s="124"/>
      <c r="U87" s="124"/>
      <c r="V87" s="124"/>
      <c r="W87" s="125"/>
      <c r="X87" s="126"/>
      <c r="Y87" s="126"/>
      <c r="Z87" s="124"/>
      <c r="AA87" s="124"/>
      <c r="AB87" s="124"/>
      <c r="AC87" s="197"/>
      <c r="AD87" s="197"/>
      <c r="AE87" s="197"/>
      <c r="AF87" s="197"/>
      <c r="AG87" s="197"/>
      <c r="AH87" s="197"/>
      <c r="AI87" s="197"/>
      <c r="AJ87" s="197"/>
      <c r="AK87" s="197"/>
      <c r="AL87" s="197"/>
      <c r="AM87" s="197"/>
      <c r="AN87" s="197"/>
    </row>
    <row r="88" spans="1:40" outlineLevel="2" x14ac:dyDescent="0.3">
      <c r="A88" s="200" t="str">
        <f>A87&amp;" as a % of revenue"</f>
        <v>Other Operating Expense as a % of revenue</v>
      </c>
      <c r="B88" s="201">
        <f t="shared" ref="B88:Q88" si="52">B87/B45</f>
        <v>6.4636801275564953E-2</v>
      </c>
      <c r="C88" s="201">
        <f t="shared" si="52"/>
        <v>8.1173679320414124E-2</v>
      </c>
      <c r="D88" s="201">
        <f t="shared" si="52"/>
        <v>7.8094773021805688E-2</v>
      </c>
      <c r="E88" s="201">
        <f t="shared" si="52"/>
        <v>3.9637618577381094E-2</v>
      </c>
      <c r="F88" s="201">
        <f t="shared" si="52"/>
        <v>4.7988735395973668E-2</v>
      </c>
      <c r="G88" s="201">
        <f t="shared" si="52"/>
        <v>4.9049712656534065E-2</v>
      </c>
      <c r="H88" s="201">
        <f t="shared" si="52"/>
        <v>5.2383175146517288E-2</v>
      </c>
      <c r="I88" s="201">
        <f t="shared" si="52"/>
        <v>5.0254775233458143E-2</v>
      </c>
      <c r="J88" s="201">
        <f t="shared" si="52"/>
        <v>5.0350446404138952E-2</v>
      </c>
      <c r="K88" s="201">
        <f t="shared" si="52"/>
        <v>5.3909287257019441E-2</v>
      </c>
      <c r="L88" s="201">
        <f t="shared" si="52"/>
        <v>5.0003703236628817E-2</v>
      </c>
      <c r="M88" s="142">
        <f t="shared" si="52"/>
        <v>5.1546634520494738E-2</v>
      </c>
      <c r="N88" s="142">
        <f t="shared" si="52"/>
        <v>4.737987860449426E-2</v>
      </c>
      <c r="O88" s="142">
        <f t="shared" si="52"/>
        <v>4.7617523733513654E-2</v>
      </c>
      <c r="P88" s="142">
        <f t="shared" si="52"/>
        <v>5.1501289632341719E-2</v>
      </c>
      <c r="Q88" s="142">
        <f t="shared" si="52"/>
        <v>5.1609840173347042E-2</v>
      </c>
      <c r="R88" s="124"/>
      <c r="S88" s="124"/>
      <c r="T88" s="124"/>
      <c r="U88" s="124"/>
      <c r="V88" s="124"/>
      <c r="W88" s="125"/>
      <c r="X88" s="126"/>
      <c r="Y88" s="126"/>
      <c r="Z88" s="124"/>
      <c r="AA88" s="124"/>
      <c r="AB88" s="124"/>
      <c r="AC88" s="197"/>
      <c r="AD88" s="197"/>
      <c r="AE88" s="197"/>
      <c r="AF88" s="197"/>
      <c r="AG88" s="197"/>
      <c r="AH88" s="197"/>
      <c r="AI88" s="197"/>
      <c r="AJ88" s="197"/>
      <c r="AK88" s="197"/>
      <c r="AL88" s="197"/>
      <c r="AM88" s="197"/>
      <c r="AN88" s="197"/>
    </row>
    <row r="89" spans="1:40" outlineLevel="2" x14ac:dyDescent="0.3">
      <c r="A89" s="200" t="s">
        <v>499</v>
      </c>
      <c r="B89" s="201">
        <f t="shared" ref="B89:L89" si="53">B87/B23</f>
        <v>6.6878172588832482E-2</v>
      </c>
      <c r="C89" s="201">
        <f t="shared" si="53"/>
        <v>8.3561058923996595E-2</v>
      </c>
      <c r="D89" s="201">
        <f t="shared" si="53"/>
        <v>8.2467274890916306E-2</v>
      </c>
      <c r="E89" s="201">
        <f t="shared" si="53"/>
        <v>4.0778761061946903E-2</v>
      </c>
      <c r="F89" s="201">
        <f t="shared" si="53"/>
        <v>5.1765188834154353E-2</v>
      </c>
      <c r="G89" s="201">
        <f t="shared" si="53"/>
        <v>5.3695458593054322E-2</v>
      </c>
      <c r="H89" s="201">
        <f t="shared" si="53"/>
        <v>5.6794751640112461E-2</v>
      </c>
      <c r="I89" s="201">
        <f t="shared" si="53"/>
        <v>5.640314378178455E-2</v>
      </c>
      <c r="J89" s="201">
        <f t="shared" si="53"/>
        <v>5.2571428571428575E-2</v>
      </c>
      <c r="K89" s="201">
        <f t="shared" si="53"/>
        <v>5.7884972170686451E-2</v>
      </c>
      <c r="L89" s="201">
        <f t="shared" si="53"/>
        <v>5.3882657463330458E-2</v>
      </c>
      <c r="M89" s="273">
        <f>AVERAGE(H89:L89)</f>
        <v>5.5507390725468495E-2</v>
      </c>
      <c r="N89" s="273">
        <v>0.05</v>
      </c>
      <c r="O89" s="273">
        <v>0.05</v>
      </c>
      <c r="P89" s="273">
        <v>5.3999999999999999E-2</v>
      </c>
      <c r="Q89" s="273">
        <v>5.3999999999999999E-2</v>
      </c>
      <c r="R89" s="124"/>
      <c r="S89" s="124"/>
      <c r="T89" s="124"/>
      <c r="U89" s="124"/>
      <c r="V89" s="124"/>
      <c r="W89" s="125"/>
      <c r="X89" s="126"/>
      <c r="Y89" s="126"/>
      <c r="Z89" s="124"/>
      <c r="AA89" s="124"/>
      <c r="AB89" s="124"/>
      <c r="AC89" s="197"/>
      <c r="AD89" s="197"/>
      <c r="AE89" s="197"/>
      <c r="AF89" s="197"/>
      <c r="AG89" s="197"/>
      <c r="AH89" s="197"/>
      <c r="AI89" s="197"/>
      <c r="AJ89" s="197"/>
      <c r="AK89" s="197"/>
      <c r="AL89" s="197"/>
      <c r="AM89" s="197"/>
      <c r="AN89" s="197"/>
    </row>
    <row r="90" spans="1:40" outlineLevel="2" x14ac:dyDescent="0.3">
      <c r="A90" s="200"/>
      <c r="B90" s="201"/>
      <c r="C90" s="201"/>
      <c r="D90" s="201"/>
      <c r="E90" s="201"/>
      <c r="F90" s="201"/>
      <c r="G90" s="201"/>
      <c r="H90" s="201"/>
      <c r="I90" s="201"/>
      <c r="J90" s="201"/>
      <c r="K90" s="201"/>
      <c r="L90" s="201"/>
      <c r="M90" s="212"/>
      <c r="N90" s="212"/>
      <c r="O90" s="212"/>
      <c r="P90" s="212"/>
      <c r="Q90" s="212"/>
      <c r="R90" s="124"/>
      <c r="S90" s="124"/>
      <c r="T90" s="124"/>
      <c r="U90" s="124"/>
      <c r="V90" s="124"/>
      <c r="W90" s="125"/>
      <c r="X90" s="126"/>
      <c r="Y90" s="126"/>
      <c r="Z90" s="124"/>
      <c r="AA90" s="124"/>
      <c r="AB90" s="124"/>
      <c r="AC90" s="197"/>
      <c r="AD90" s="197"/>
      <c r="AE90" s="197"/>
      <c r="AF90" s="197"/>
      <c r="AG90" s="197"/>
      <c r="AH90" s="197"/>
      <c r="AI90" s="197"/>
      <c r="AJ90" s="197"/>
      <c r="AK90" s="197"/>
      <c r="AL90" s="197"/>
      <c r="AM90" s="197"/>
      <c r="AN90" s="197"/>
    </row>
    <row r="91" spans="1:40" outlineLevel="2" x14ac:dyDescent="0.3">
      <c r="A91" s="243" t="s">
        <v>225</v>
      </c>
      <c r="B91" s="201">
        <f t="shared" ref="B91:Q91" si="54">B61/B23</f>
        <v>0.42074871827411164</v>
      </c>
      <c r="C91" s="201">
        <f t="shared" si="54"/>
        <v>0.27806576003415884</v>
      </c>
      <c r="D91" s="201">
        <f t="shared" si="54"/>
        <v>0.31522412534708449</v>
      </c>
      <c r="E91" s="201">
        <f t="shared" si="54"/>
        <v>0.3087575185840708</v>
      </c>
      <c r="F91" s="201">
        <f t="shared" si="54"/>
        <v>0.51176929392446635</v>
      </c>
      <c r="G91" s="201">
        <f t="shared" si="54"/>
        <v>0.73743988423864648</v>
      </c>
      <c r="H91" s="201">
        <f t="shared" si="54"/>
        <v>0.51231491565135889</v>
      </c>
      <c r="I91" s="201">
        <f t="shared" si="54"/>
        <v>0.49705963938973641</v>
      </c>
      <c r="J91" s="201">
        <f t="shared" si="54"/>
        <v>0.60966093333333338</v>
      </c>
      <c r="K91" s="201">
        <f t="shared" si="54"/>
        <v>0.60303470447919427</v>
      </c>
      <c r="L91" s="201">
        <f t="shared" si="54"/>
        <v>0.8012575776531492</v>
      </c>
      <c r="M91" s="142">
        <f t="shared" si="54"/>
        <v>0.56999999999999995</v>
      </c>
      <c r="N91" s="142">
        <f t="shared" si="54"/>
        <v>0.56699999999999995</v>
      </c>
      <c r="O91" s="142">
        <f t="shared" si="54"/>
        <v>0.56699999999999995</v>
      </c>
      <c r="P91" s="142">
        <f t="shared" si="54"/>
        <v>0.54</v>
      </c>
      <c r="Q91" s="142">
        <f t="shared" si="54"/>
        <v>0.54</v>
      </c>
      <c r="R91" s="142"/>
      <c r="S91" s="124"/>
      <c r="T91" s="124"/>
      <c r="U91" s="124"/>
      <c r="V91" s="124"/>
      <c r="W91" s="125"/>
      <c r="X91" s="126"/>
      <c r="Y91" s="126"/>
      <c r="Z91" s="124"/>
      <c r="AA91" s="124"/>
      <c r="AB91" s="124"/>
      <c r="AC91" s="197"/>
      <c r="AD91" s="197"/>
      <c r="AE91" s="197"/>
      <c r="AF91" s="197"/>
      <c r="AG91" s="197"/>
      <c r="AH91" s="197"/>
      <c r="AI91" s="197"/>
      <c r="AJ91" s="197"/>
      <c r="AK91" s="197"/>
      <c r="AL91" s="197"/>
      <c r="AM91" s="197"/>
      <c r="AN91" s="197"/>
    </row>
    <row r="92" spans="1:40" outlineLevel="2" x14ac:dyDescent="0.3">
      <c r="A92" s="243" t="s">
        <v>436</v>
      </c>
      <c r="B92" s="201">
        <f t="shared" ref="B92:Q92" si="55">(B71+B79+B87)/B23</f>
        <v>0.29831852791878172</v>
      </c>
      <c r="C92" s="201">
        <f t="shared" si="55"/>
        <v>0.28139623825789922</v>
      </c>
      <c r="D92" s="201">
        <f t="shared" si="55"/>
        <v>0.29839349464498216</v>
      </c>
      <c r="E92" s="201">
        <f t="shared" si="55"/>
        <v>0.28948672566371675</v>
      </c>
      <c r="F92" s="201">
        <f t="shared" si="55"/>
        <v>0.33436781198686372</v>
      </c>
      <c r="G92" s="201">
        <f t="shared" si="55"/>
        <v>0.3421638423864648</v>
      </c>
      <c r="H92" s="201">
        <f t="shared" si="55"/>
        <v>0.3606888566073102</v>
      </c>
      <c r="I92" s="201">
        <f t="shared" si="55"/>
        <v>0.39671290799815073</v>
      </c>
      <c r="J92" s="201">
        <f t="shared" si="55"/>
        <v>0.3866209523809524</v>
      </c>
      <c r="K92" s="201">
        <f t="shared" si="55"/>
        <v>0.42671614895308768</v>
      </c>
      <c r="L92" s="201">
        <f t="shared" si="55"/>
        <v>0.40221742666091453</v>
      </c>
      <c r="M92" s="142">
        <f t="shared" si="55"/>
        <v>0.39459125852008314</v>
      </c>
      <c r="N92" s="142">
        <f t="shared" si="55"/>
        <v>0.37</v>
      </c>
      <c r="O92" s="142">
        <f t="shared" si="55"/>
        <v>0.37</v>
      </c>
      <c r="P92" s="142">
        <f t="shared" si="55"/>
        <v>0.374</v>
      </c>
      <c r="Q92" s="142">
        <f t="shared" si="55"/>
        <v>0.374</v>
      </c>
      <c r="R92" s="124"/>
      <c r="S92" s="124"/>
      <c r="T92" s="124"/>
      <c r="U92" s="124"/>
      <c r="V92" s="124"/>
      <c r="W92" s="125"/>
      <c r="X92" s="126"/>
      <c r="Y92" s="126"/>
      <c r="Z92" s="124"/>
      <c r="AA92" s="124"/>
      <c r="AB92" s="124"/>
      <c r="AC92" s="197"/>
      <c r="AD92" s="197"/>
      <c r="AE92" s="197"/>
      <c r="AF92" s="197"/>
      <c r="AG92" s="197"/>
      <c r="AH92" s="197"/>
      <c r="AI92" s="197"/>
      <c r="AJ92" s="197"/>
      <c r="AK92" s="197"/>
      <c r="AL92" s="197"/>
      <c r="AM92" s="197"/>
      <c r="AN92" s="197"/>
    </row>
    <row r="93" spans="1:40" outlineLevel="2" x14ac:dyDescent="0.3">
      <c r="A93" s="243" t="s">
        <v>107</v>
      </c>
      <c r="B93" s="201">
        <f>B91+B92</f>
        <v>0.71906724619289331</v>
      </c>
      <c r="C93" s="201">
        <f t="shared" ref="C93:K93" si="56">C91+C92</f>
        <v>0.55946199829205812</v>
      </c>
      <c r="D93" s="201">
        <f t="shared" si="56"/>
        <v>0.61361761999206665</v>
      </c>
      <c r="E93" s="201">
        <f t="shared" si="56"/>
        <v>0.59824424424778755</v>
      </c>
      <c r="F93" s="201">
        <f t="shared" si="56"/>
        <v>0.84613710591133007</v>
      </c>
      <c r="G93" s="201">
        <f t="shared" si="56"/>
        <v>1.0796037266251113</v>
      </c>
      <c r="H93" s="201">
        <f t="shared" si="56"/>
        <v>0.8730037722586691</v>
      </c>
      <c r="I93" s="201">
        <f t="shared" si="56"/>
        <v>0.89377254738788714</v>
      </c>
      <c r="J93" s="201">
        <f t="shared" si="56"/>
        <v>0.99628188571428578</v>
      </c>
      <c r="K93" s="201">
        <f t="shared" si="56"/>
        <v>1.0297508534322819</v>
      </c>
      <c r="L93" s="201">
        <f>L91+L92</f>
        <v>1.2034750043140638</v>
      </c>
      <c r="M93" s="142">
        <f>M91+M92</f>
        <v>0.96459125852008309</v>
      </c>
      <c r="N93" s="142">
        <f t="shared" ref="N93:Q93" si="57">N91+N92</f>
        <v>0.93699999999999994</v>
      </c>
      <c r="O93" s="142">
        <f t="shared" si="57"/>
        <v>0.93699999999999994</v>
      </c>
      <c r="P93" s="142">
        <f t="shared" si="57"/>
        <v>0.91400000000000003</v>
      </c>
      <c r="Q93" s="142">
        <f t="shared" si="57"/>
        <v>0.91400000000000003</v>
      </c>
      <c r="R93" s="124"/>
      <c r="S93" s="124"/>
      <c r="T93" s="124"/>
      <c r="U93" s="124"/>
      <c r="V93" s="124"/>
      <c r="W93" s="125"/>
      <c r="X93" s="126"/>
      <c r="Y93" s="126"/>
      <c r="Z93" s="124"/>
      <c r="AA93" s="124"/>
      <c r="AB93" s="124"/>
      <c r="AC93" s="197"/>
      <c r="AD93" s="197"/>
      <c r="AE93" s="197"/>
      <c r="AF93" s="197"/>
      <c r="AG93" s="197"/>
      <c r="AH93" s="197"/>
      <c r="AI93" s="197"/>
      <c r="AJ93" s="197"/>
      <c r="AK93" s="197"/>
      <c r="AL93" s="197"/>
      <c r="AM93" s="197"/>
      <c r="AN93" s="197"/>
    </row>
    <row r="94" spans="1:40" outlineLevel="2" x14ac:dyDescent="0.3">
      <c r="A94" s="129"/>
      <c r="B94" s="137"/>
      <c r="C94" s="137"/>
      <c r="D94" s="137"/>
      <c r="E94" s="137"/>
      <c r="F94" s="137"/>
      <c r="G94" s="137"/>
      <c r="H94" s="137"/>
      <c r="I94" s="137"/>
      <c r="J94" s="137"/>
      <c r="K94" s="137"/>
      <c r="L94" s="137"/>
      <c r="M94" s="130"/>
      <c r="N94" s="130"/>
      <c r="O94" s="130"/>
      <c r="P94" s="130"/>
      <c r="Q94" s="130"/>
      <c r="R94" s="124"/>
      <c r="S94" s="124"/>
      <c r="T94" s="124"/>
      <c r="U94" s="124"/>
      <c r="V94" s="124"/>
      <c r="W94" s="125"/>
      <c r="X94" s="126"/>
      <c r="Y94" s="126"/>
      <c r="Z94" s="124"/>
      <c r="AA94" s="124"/>
      <c r="AB94" s="124"/>
      <c r="AC94" s="124"/>
      <c r="AD94" s="124"/>
      <c r="AE94" s="127"/>
    </row>
    <row r="95" spans="1:40" outlineLevel="2" x14ac:dyDescent="0.3">
      <c r="A95" s="129"/>
      <c r="B95" s="137"/>
      <c r="C95" s="137"/>
      <c r="D95" s="137"/>
      <c r="E95" s="137"/>
      <c r="F95" s="137"/>
      <c r="G95" s="137"/>
      <c r="H95" s="137"/>
      <c r="I95" s="137"/>
      <c r="J95" s="137"/>
      <c r="K95" s="137"/>
      <c r="L95" s="137"/>
      <c r="M95" s="142"/>
      <c r="N95" s="142"/>
      <c r="O95" s="142"/>
      <c r="P95" s="142"/>
      <c r="Q95" s="142"/>
      <c r="R95" s="124"/>
      <c r="S95" s="124"/>
      <c r="T95" s="124"/>
      <c r="U95" s="124"/>
      <c r="V95" s="124"/>
      <c r="W95" s="125"/>
      <c r="X95" s="126"/>
      <c r="Y95" s="126"/>
      <c r="Z95" s="124"/>
      <c r="AA95" s="124"/>
      <c r="AB95" s="124"/>
      <c r="AC95" s="124"/>
      <c r="AD95" s="124"/>
      <c r="AE95" s="127"/>
    </row>
    <row r="96" spans="1:40" outlineLevel="2" x14ac:dyDescent="0.3">
      <c r="B96" s="274"/>
      <c r="C96" s="274"/>
      <c r="D96" s="274"/>
      <c r="E96" s="274"/>
      <c r="F96" s="274"/>
      <c r="G96" s="274"/>
      <c r="H96" s="274"/>
      <c r="I96" s="274"/>
      <c r="J96" s="274"/>
      <c r="K96" s="274"/>
      <c r="L96" s="274"/>
      <c r="M96" s="130"/>
      <c r="N96" s="130"/>
      <c r="O96" s="130"/>
      <c r="P96" s="130"/>
      <c r="Q96" s="130"/>
      <c r="R96" s="124"/>
      <c r="S96" s="124"/>
      <c r="T96" s="124"/>
      <c r="U96" s="124"/>
      <c r="V96" s="124"/>
      <c r="W96" s="125"/>
      <c r="X96" s="126"/>
      <c r="Y96" s="126"/>
      <c r="Z96" s="124"/>
      <c r="AA96" s="124"/>
      <c r="AB96" s="124"/>
      <c r="AC96" s="124"/>
      <c r="AD96" s="124"/>
      <c r="AE96" s="127"/>
    </row>
    <row r="97" spans="1:31" outlineLevel="2" x14ac:dyDescent="0.3">
      <c r="A97" s="129"/>
      <c r="B97" s="137"/>
      <c r="C97" s="137"/>
      <c r="D97" s="137"/>
      <c r="E97" s="137"/>
      <c r="F97" s="137"/>
      <c r="G97" s="137"/>
      <c r="H97" s="137"/>
      <c r="I97" s="137"/>
      <c r="J97" s="137"/>
      <c r="K97" s="137"/>
      <c r="L97" s="137"/>
      <c r="M97" s="130"/>
      <c r="N97" s="130"/>
      <c r="O97" s="130"/>
      <c r="P97" s="130"/>
      <c r="Q97" s="130"/>
      <c r="R97" s="124"/>
      <c r="S97" s="124"/>
      <c r="T97" s="124"/>
      <c r="U97" s="124"/>
      <c r="V97" s="124"/>
      <c r="W97" s="125"/>
      <c r="X97" s="126"/>
      <c r="Y97" s="126"/>
      <c r="Z97" s="124"/>
      <c r="AA97" s="124"/>
      <c r="AB97" s="124"/>
      <c r="AC97" s="124"/>
      <c r="AD97" s="124"/>
      <c r="AE97" s="127"/>
    </row>
    <row r="98" spans="1:31" outlineLevel="2" x14ac:dyDescent="0.3">
      <c r="A98" s="129"/>
      <c r="B98" s="137"/>
      <c r="C98" s="137"/>
      <c r="D98" s="137"/>
      <c r="E98" s="137"/>
      <c r="F98" s="137"/>
      <c r="G98" s="137"/>
      <c r="H98" s="137"/>
      <c r="I98" s="137"/>
      <c r="J98" s="137"/>
      <c r="K98" s="137"/>
      <c r="L98" s="137"/>
      <c r="M98" s="143"/>
      <c r="N98" s="143"/>
      <c r="O98" s="143"/>
      <c r="P98" s="143"/>
      <c r="Q98" s="143"/>
      <c r="R98" s="124"/>
      <c r="S98" s="124"/>
      <c r="T98" s="124"/>
      <c r="U98" s="124"/>
      <c r="V98" s="124"/>
      <c r="W98" s="125"/>
      <c r="X98" s="126"/>
      <c r="Y98" s="126"/>
      <c r="Z98" s="124"/>
      <c r="AA98" s="124"/>
      <c r="AB98" s="124"/>
      <c r="AC98" s="124"/>
      <c r="AD98" s="124"/>
      <c r="AE98" s="127"/>
    </row>
    <row r="99" spans="1:31" outlineLevel="2" x14ac:dyDescent="0.3">
      <c r="B99" s="137"/>
      <c r="C99" s="137"/>
      <c r="D99" s="137"/>
      <c r="E99" s="137"/>
      <c r="F99" s="137"/>
      <c r="G99" s="137"/>
      <c r="H99" s="137"/>
      <c r="I99" s="137"/>
      <c r="J99" s="137"/>
      <c r="K99" s="137"/>
      <c r="L99" s="137"/>
      <c r="M99" s="141"/>
      <c r="N99" s="141"/>
      <c r="O99" s="141"/>
      <c r="P99" s="141"/>
      <c r="Q99" s="141"/>
      <c r="R99" s="124"/>
      <c r="S99" s="124"/>
      <c r="T99" s="124"/>
      <c r="U99" s="124"/>
      <c r="V99" s="124"/>
      <c r="W99" s="125"/>
      <c r="X99" s="126"/>
      <c r="Y99" s="126"/>
      <c r="Z99" s="124"/>
      <c r="AA99" s="124"/>
      <c r="AB99" s="124"/>
      <c r="AC99" s="124"/>
      <c r="AD99" s="124"/>
      <c r="AE99" s="127"/>
    </row>
    <row r="100" spans="1:31" outlineLevel="2" x14ac:dyDescent="0.3">
      <c r="A100" s="79" t="s">
        <v>108</v>
      </c>
      <c r="B100" s="141">
        <f t="shared" ref="B100:Q100" si="58">SUM(B61,B71,B79,B87)</f>
        <v>113.32499799999999</v>
      </c>
      <c r="C100" s="141">
        <f t="shared" si="58"/>
        <v>131.02600000000001</v>
      </c>
      <c r="D100" s="141">
        <f t="shared" si="58"/>
        <v>154.69300199999998</v>
      </c>
      <c r="E100" s="141">
        <f t="shared" si="58"/>
        <v>169.00399899999999</v>
      </c>
      <c r="F100" s="141">
        <f t="shared" si="58"/>
        <v>206.11899900000003</v>
      </c>
      <c r="G100" s="141">
        <f t="shared" si="58"/>
        <v>242.47899699999999</v>
      </c>
      <c r="H100" s="141">
        <f t="shared" si="58"/>
        <v>186.29900500000002</v>
      </c>
      <c r="I100" s="141">
        <f t="shared" si="58"/>
        <v>193.32300199999997</v>
      </c>
      <c r="J100" s="141">
        <f t="shared" si="58"/>
        <v>261.52399500000001</v>
      </c>
      <c r="K100" s="141">
        <f t="shared" si="58"/>
        <v>388.52499699999993</v>
      </c>
      <c r="L100" s="141">
        <f t="shared" si="58"/>
        <v>557.93101200000001</v>
      </c>
      <c r="M100" s="141">
        <f t="shared" si="58"/>
        <v>496.60847202924879</v>
      </c>
      <c r="N100" s="141">
        <f t="shared" si="58"/>
        <v>636.77253667737614</v>
      </c>
      <c r="O100" s="141">
        <f t="shared" si="58"/>
        <v>668.61116351124497</v>
      </c>
      <c r="P100" s="141">
        <f t="shared" si="58"/>
        <v>706.20939199297891</v>
      </c>
      <c r="Q100" s="141">
        <f t="shared" si="58"/>
        <v>776.83033119227696</v>
      </c>
      <c r="R100" s="124"/>
      <c r="S100" s="124"/>
      <c r="T100" s="124"/>
      <c r="U100" s="124"/>
      <c r="V100" s="124"/>
      <c r="W100" s="125"/>
      <c r="X100" s="126"/>
      <c r="Y100" s="126"/>
      <c r="Z100" s="124"/>
      <c r="AA100" s="124"/>
      <c r="AB100" s="124"/>
      <c r="AC100" s="124"/>
      <c r="AD100" s="124"/>
      <c r="AE100" s="127"/>
    </row>
    <row r="101" spans="1:31" outlineLevel="2" x14ac:dyDescent="0.3">
      <c r="A101" s="118"/>
      <c r="B101" s="141"/>
      <c r="C101" s="141"/>
      <c r="D101" s="141"/>
      <c r="E101" s="207"/>
      <c r="F101" s="141"/>
      <c r="G101" s="141"/>
      <c r="H101" s="141"/>
      <c r="I101" s="141"/>
      <c r="J101" s="141"/>
      <c r="K101" s="141"/>
      <c r="L101" s="141"/>
      <c r="M101" s="141"/>
      <c r="N101" s="141"/>
      <c r="O101" s="141"/>
      <c r="P101" s="141"/>
      <c r="Q101" s="141"/>
      <c r="R101" s="124"/>
      <c r="S101" s="124"/>
      <c r="T101" s="124"/>
      <c r="U101" s="124"/>
      <c r="V101" s="124"/>
      <c r="W101" s="125"/>
      <c r="X101" s="126"/>
      <c r="Y101" s="126"/>
      <c r="Z101" s="124"/>
      <c r="AA101" s="124"/>
      <c r="AB101" s="124"/>
      <c r="AC101" s="124"/>
      <c r="AD101" s="124"/>
      <c r="AE101" s="127"/>
    </row>
    <row r="102" spans="1:31" outlineLevel="2" x14ac:dyDescent="0.3">
      <c r="A102" s="79" t="str">
        <f>"Reconcile "&amp;A105&amp;" with"&amp;" above"</f>
        <v>Reconcile Total Expenses (Historical are Broker Actual) with above</v>
      </c>
      <c r="B102" s="136"/>
      <c r="C102" s="136" t="e">
        <f t="shared" ref="C102:L102" si="59">C105-C100</f>
        <v>#VALUE!</v>
      </c>
      <c r="D102" s="136">
        <f t="shared" si="59"/>
        <v>51.814998000000031</v>
      </c>
      <c r="E102" s="136">
        <f t="shared" si="59"/>
        <v>47.648000999999994</v>
      </c>
      <c r="F102" s="136">
        <f t="shared" si="59"/>
        <v>33.027000999999984</v>
      </c>
      <c r="G102" s="136">
        <f t="shared" si="59"/>
        <v>5.627003000000002</v>
      </c>
      <c r="H102" s="136">
        <f t="shared" si="59"/>
        <v>11.392994999999985</v>
      </c>
      <c r="I102" s="136">
        <f t="shared" si="59"/>
        <v>27.350998000000004</v>
      </c>
      <c r="J102" s="136">
        <f t="shared" si="59"/>
        <v>20.313004999999976</v>
      </c>
      <c r="K102" s="136">
        <f t="shared" si="59"/>
        <v>16.990003000000115</v>
      </c>
      <c r="L102" s="136">
        <f t="shared" si="59"/>
        <v>-5.8680120000000215</v>
      </c>
      <c r="M102" s="144">
        <v>0</v>
      </c>
      <c r="N102" s="144">
        <f t="shared" ref="N102:Q102" si="60">M102</f>
        <v>0</v>
      </c>
      <c r="O102" s="144">
        <f t="shared" si="60"/>
        <v>0</v>
      </c>
      <c r="P102" s="144">
        <f t="shared" si="60"/>
        <v>0</v>
      </c>
      <c r="Q102" s="144">
        <f t="shared" si="60"/>
        <v>0</v>
      </c>
      <c r="R102" s="121"/>
      <c r="S102" s="121"/>
      <c r="T102" s="121"/>
      <c r="U102" s="121"/>
      <c r="V102" s="121"/>
      <c r="AC102" s="76"/>
    </row>
    <row r="103" spans="1:31" outlineLevel="2" collapsed="1" x14ac:dyDescent="0.3">
      <c r="A103" s="129" t="s">
        <v>87</v>
      </c>
      <c r="C103" s="130"/>
      <c r="D103" s="130" t="e">
        <f t="shared" ref="D103:L103" si="61">D102/C102-1</f>
        <v>#VALUE!</v>
      </c>
      <c r="E103" s="130">
        <f t="shared" si="61"/>
        <v>-8.0420672794391246E-2</v>
      </c>
      <c r="F103" s="130">
        <f t="shared" si="61"/>
        <v>-0.30685442606500979</v>
      </c>
      <c r="G103" s="130">
        <f t="shared" si="61"/>
        <v>-0.82962416115226434</v>
      </c>
      <c r="H103" s="130">
        <f t="shared" si="61"/>
        <v>1.0247003600317934</v>
      </c>
      <c r="I103" s="130">
        <f t="shared" si="61"/>
        <v>1.4006855089465096</v>
      </c>
      <c r="J103" s="130">
        <f t="shared" si="61"/>
        <v>-0.25732125021544106</v>
      </c>
      <c r="K103" s="130">
        <f t="shared" si="61"/>
        <v>-0.16358987751934606</v>
      </c>
      <c r="L103" s="130">
        <f t="shared" si="61"/>
        <v>-1.3453802803919448</v>
      </c>
      <c r="M103" s="130">
        <f>IFERROR(M102/L102-1,"")</f>
        <v>-1</v>
      </c>
      <c r="N103" s="130" t="str">
        <f t="shared" ref="N103:Q103" si="62">IFERROR(N102/M102-1,"")</f>
        <v/>
      </c>
      <c r="O103" s="130" t="str">
        <f t="shared" si="62"/>
        <v/>
      </c>
      <c r="P103" s="130" t="str">
        <f t="shared" si="62"/>
        <v/>
      </c>
      <c r="Q103" s="130" t="str">
        <f t="shared" si="62"/>
        <v/>
      </c>
      <c r="R103" s="124"/>
      <c r="S103" s="124"/>
      <c r="T103" s="124"/>
      <c r="U103" s="124"/>
      <c r="V103" s="124"/>
      <c r="W103" s="125"/>
      <c r="X103" s="126"/>
      <c r="Y103" s="126"/>
      <c r="Z103" s="124"/>
      <c r="AA103" s="124"/>
      <c r="AB103" s="124"/>
      <c r="AC103" s="124"/>
      <c r="AD103" s="124"/>
      <c r="AE103" s="127"/>
    </row>
    <row r="104" spans="1:31" outlineLevel="1" x14ac:dyDescent="0.3">
      <c r="A104" s="131"/>
      <c r="B104" s="132"/>
      <c r="C104" s="132"/>
      <c r="D104" s="132"/>
      <c r="E104" s="132"/>
      <c r="F104" s="132"/>
      <c r="G104" s="132"/>
      <c r="H104" s="132"/>
      <c r="I104" s="132"/>
      <c r="J104" s="132"/>
      <c r="K104" s="132"/>
      <c r="L104" s="132"/>
      <c r="M104" s="121"/>
      <c r="N104" s="121"/>
      <c r="O104" s="121"/>
      <c r="P104" s="121"/>
      <c r="Q104" s="121"/>
      <c r="R104" s="121"/>
      <c r="S104" s="121"/>
      <c r="T104" s="121"/>
      <c r="U104" s="121"/>
      <c r="V104" s="121"/>
      <c r="AC104" s="76"/>
    </row>
    <row r="105" spans="1:31" outlineLevel="1" x14ac:dyDescent="0.3">
      <c r="A105" s="118" t="str">
        <f>"Total Expenses (Historical are "&amp;B2&amp;")"</f>
        <v>Total Expenses (Historical are Broker Actual)</v>
      </c>
      <c r="B105" s="140" t="e">
        <f t="shared" ref="B105:L105" si="63">B57-B107</f>
        <v>#VALUE!</v>
      </c>
      <c r="C105" s="140" t="e">
        <f t="shared" si="63"/>
        <v>#VALUE!</v>
      </c>
      <c r="D105" s="140">
        <f t="shared" si="63"/>
        <v>206.50800000000001</v>
      </c>
      <c r="E105" s="140">
        <f t="shared" si="63"/>
        <v>216.65199999999999</v>
      </c>
      <c r="F105" s="140">
        <f t="shared" si="63"/>
        <v>239.14600000000002</v>
      </c>
      <c r="G105" s="140">
        <f t="shared" si="63"/>
        <v>248.10599999999999</v>
      </c>
      <c r="H105" s="140">
        <f t="shared" si="63"/>
        <v>197.69200000000001</v>
      </c>
      <c r="I105" s="140">
        <f t="shared" si="63"/>
        <v>220.67399999999998</v>
      </c>
      <c r="J105" s="140">
        <f t="shared" si="63"/>
        <v>281.83699999999999</v>
      </c>
      <c r="K105" s="140">
        <f t="shared" si="63"/>
        <v>405.51500000000004</v>
      </c>
      <c r="L105" s="140">
        <f t="shared" si="63"/>
        <v>552.06299999999999</v>
      </c>
      <c r="M105" s="141">
        <f>M100+M102</f>
        <v>496.60847202924879</v>
      </c>
      <c r="N105" s="141">
        <f t="shared" ref="N105:Q105" si="64">N100+N102</f>
        <v>636.77253667737614</v>
      </c>
      <c r="O105" s="141">
        <f t="shared" si="64"/>
        <v>668.61116351124497</v>
      </c>
      <c r="P105" s="141">
        <f t="shared" si="64"/>
        <v>706.20939199297891</v>
      </c>
      <c r="Q105" s="141">
        <f t="shared" si="64"/>
        <v>776.83033119227696</v>
      </c>
      <c r="R105" s="124"/>
      <c r="S105" s="124"/>
      <c r="T105" s="124"/>
      <c r="U105" s="124"/>
      <c r="V105" s="124"/>
      <c r="W105" s="125"/>
      <c r="X105" s="126"/>
      <c r="Y105" s="126"/>
      <c r="Z105" s="124"/>
      <c r="AA105" s="124"/>
      <c r="AB105" s="124"/>
      <c r="AC105" s="124"/>
      <c r="AD105" s="124"/>
      <c r="AE105" s="127"/>
    </row>
    <row r="106" spans="1:31" outlineLevel="1" x14ac:dyDescent="0.3">
      <c r="B106" s="124"/>
      <c r="C106" s="124"/>
      <c r="D106" s="124"/>
      <c r="E106" s="124"/>
      <c r="F106" s="124"/>
      <c r="G106" s="124"/>
      <c r="H106" s="124"/>
      <c r="I106" s="124"/>
      <c r="J106" s="124"/>
      <c r="K106" s="124"/>
      <c r="L106" s="124"/>
      <c r="M106" s="216"/>
      <c r="N106" s="216"/>
      <c r="O106" s="216"/>
      <c r="P106" s="141"/>
      <c r="Q106" s="141"/>
      <c r="R106" s="124"/>
      <c r="S106" s="124"/>
      <c r="T106" s="124"/>
      <c r="U106" s="124"/>
      <c r="V106" s="124"/>
      <c r="W106" s="125"/>
      <c r="X106" s="126"/>
      <c r="Y106" s="126"/>
      <c r="Z106" s="124"/>
      <c r="AA106" s="124"/>
      <c r="AB106" s="124"/>
      <c r="AC106" s="124"/>
      <c r="AD106" s="124"/>
      <c r="AE106" s="127"/>
    </row>
    <row r="107" spans="1:31" outlineLevel="1" x14ac:dyDescent="0.3">
      <c r="A107" s="118" t="s">
        <v>109</v>
      </c>
      <c r="B107" s="140" t="str">
        <f>CHOOSE(IF($B$1=2,2,1),'GAAP-IFRS'!E15,IF('Broker Actual'!E15="-",'GAAP-IFRS'!E15,'Broker Actual'!E15))</f>
        <v/>
      </c>
      <c r="C107" s="140" t="str">
        <f>CHOOSE(IF($B$1=2,2,1),'GAAP-IFRS'!F15,IF('Broker Actual'!F15="-",'GAAP-IFRS'!F15,'Broker Actual'!F15))</f>
        <v/>
      </c>
      <c r="D107" s="140">
        <f>CHOOSE(IF($B$1=2,2,1),'GAAP-IFRS'!G15,IF('Broker Actual'!G15="-",'GAAP-IFRS'!G15,'Broker Actual'!G15))</f>
        <v>59.6</v>
      </c>
      <c r="E107" s="140">
        <f>CHOOSE(IF($B$1=2,2,1),'GAAP-IFRS'!H15,IF('Broker Actual'!H15="-",'GAAP-IFRS'!H15,'Broker Actual'!H15))</f>
        <v>69.3</v>
      </c>
      <c r="F107" s="140">
        <f>CHOOSE(IF($B$1=2,2,1),'GAAP-IFRS'!I15,IF('Broker Actual'!I15="-",'GAAP-IFRS'!I15,'Broker Actual'!I15))</f>
        <v>25.3</v>
      </c>
      <c r="G107" s="140">
        <f>CHOOSE(IF($B$1=2,2,1),'GAAP-IFRS'!J15,IF('Broker Actual'!J15="-",'GAAP-IFRS'!J15,'Broker Actual'!J15))</f>
        <v>-3.7</v>
      </c>
      <c r="H107" s="140">
        <f>CHOOSE(IF($B$1=2,2,1),'GAAP-IFRS'!K15,IF('Broker Actual'!K15="-",'GAAP-IFRS'!K15,'Broker Actual'!K15))</f>
        <v>33.6</v>
      </c>
      <c r="I107" s="140">
        <f>CHOOSE(IF($B$1=2,2,1),'GAAP-IFRS'!L15,IF('Broker Actual'!L15="-",'GAAP-IFRS'!L15,'Broker Actual'!L15))</f>
        <v>21.8</v>
      </c>
      <c r="J107" s="140">
        <f>CHOOSE(IF($B$1=2,2,1),'GAAP-IFRS'!M15,IF('Broker Actual'!M15="-",'GAAP-IFRS'!M15,'Broker Actual'!M15))</f>
        <v>28.6</v>
      </c>
      <c r="K107" s="140">
        <f>CHOOSE(IF($B$1=2,2,1),'GAAP-IFRS'!N15,IF('Broker Actual'!N15="-",'GAAP-IFRS'!N15,'Broker Actual'!N15))</f>
        <v>2.4</v>
      </c>
      <c r="L107" s="140">
        <f>CHOOSE(IF($B$1=2,2,1),'GAAP-IFRS'!O15,IF('Broker Actual'!O15="-",'GAAP-IFRS'!O15,'Broker Actual'!O15))</f>
        <v>-52.5</v>
      </c>
      <c r="M107" s="141">
        <f>M57-M105</f>
        <v>57.789074370751337</v>
      </c>
      <c r="N107" s="141">
        <f>N57-N105</f>
        <v>80.395283570623974</v>
      </c>
      <c r="O107" s="141">
        <f>O57-O105</f>
        <v>80.656914249155193</v>
      </c>
      <c r="P107" s="141">
        <f>P57-P105</f>
        <v>103.93596778000119</v>
      </c>
      <c r="Q107" s="141">
        <f>Q57-Q105</f>
        <v>112.45519547487629</v>
      </c>
      <c r="R107" s="124"/>
      <c r="S107" s="124"/>
      <c r="T107" s="124"/>
      <c r="U107" s="124"/>
      <c r="V107" s="124"/>
      <c r="W107" s="125"/>
      <c r="X107" s="126" t="s">
        <v>91</v>
      </c>
      <c r="Y107" s="126" t="s">
        <v>110</v>
      </c>
      <c r="Z107" s="124" cm="1">
        <f t="array" ref="Z107">_xll.FDSC("--",$A$1,""&amp;$X107&amp;"("&amp;$Y107&amp;","&amp;D$2&amp;",ANNUAL_ROLL,+1,0,,,'CURRENCY="&amp;$E$1&amp;"')")</f>
        <v>49.2</v>
      </c>
      <c r="AA107" s="124" cm="1">
        <f t="array" ref="AA107">_xll.FDSC("--",$A$1,""&amp;$X107&amp;"("&amp;$Y107&amp;","&amp;D$2&amp;",ANNUAL_ROLL,+2,0,,,'CURRENCY="&amp;$E$1&amp;"')")</f>
        <v>89.1</v>
      </c>
      <c r="AB107" s="124" t="str" cm="1">
        <f t="array" ref="AB107">_xll.FDSC("--",$A$1,""&amp;$X107&amp;"("&amp;$Y107&amp;","&amp;D$2&amp;",ANNUAL_ROLL,+3,0,,,'CURRENCY="&amp;$E$1&amp;"')")</f>
        <v>--</v>
      </c>
      <c r="AC107" s="124"/>
      <c r="AD107" s="124"/>
      <c r="AE107" s="127"/>
    </row>
    <row r="108" spans="1:31" outlineLevel="1" collapsed="1" x14ac:dyDescent="0.3">
      <c r="A108" s="129" t="s">
        <v>87</v>
      </c>
      <c r="B108" s="124"/>
      <c r="C108" s="130" t="e">
        <f t="shared" ref="C108:Q108" si="65">C107/B107-1</f>
        <v>#VALUE!</v>
      </c>
      <c r="D108" s="130" t="e">
        <f t="shared" si="65"/>
        <v>#VALUE!</v>
      </c>
      <c r="E108" s="130">
        <f t="shared" si="65"/>
        <v>0.16275167785234901</v>
      </c>
      <c r="F108" s="130">
        <f t="shared" si="65"/>
        <v>-0.63492063492063489</v>
      </c>
      <c r="G108" s="130">
        <f t="shared" si="65"/>
        <v>-1.1462450592885376</v>
      </c>
      <c r="H108" s="130">
        <f t="shared" si="65"/>
        <v>-10.081081081081081</v>
      </c>
      <c r="I108" s="130">
        <f t="shared" si="65"/>
        <v>-0.35119047619047616</v>
      </c>
      <c r="J108" s="130">
        <f t="shared" si="65"/>
        <v>0.31192660550458728</v>
      </c>
      <c r="K108" s="130">
        <f t="shared" si="65"/>
        <v>-0.91608391608391604</v>
      </c>
      <c r="L108" s="130">
        <f t="shared" si="65"/>
        <v>-22.875</v>
      </c>
      <c r="M108" s="130">
        <f t="shared" si="65"/>
        <v>-2.1007442737285968</v>
      </c>
      <c r="N108" s="130">
        <f t="shared" si="65"/>
        <v>0.39118482941672217</v>
      </c>
      <c r="O108" s="130">
        <f t="shared" si="65"/>
        <v>3.2543038212109465E-3</v>
      </c>
      <c r="P108" s="130">
        <f t="shared" si="65"/>
        <v>0.28861820152126416</v>
      </c>
      <c r="Q108" s="130">
        <f t="shared" si="65"/>
        <v>8.1966116993373639E-2</v>
      </c>
      <c r="R108" s="124"/>
      <c r="S108" s="124"/>
      <c r="T108" s="124"/>
      <c r="U108" s="124"/>
      <c r="V108" s="124"/>
      <c r="W108" s="125"/>
      <c r="X108" s="126"/>
      <c r="Y108" s="126"/>
      <c r="Z108" s="124"/>
      <c r="AA108" s="124"/>
      <c r="AB108" s="124"/>
      <c r="AC108" s="124"/>
      <c r="AD108" s="124"/>
      <c r="AE108" s="127"/>
    </row>
    <row r="109" spans="1:31" s="118" customFormat="1" outlineLevel="1" x14ac:dyDescent="0.3">
      <c r="A109" s="118" t="s">
        <v>111</v>
      </c>
      <c r="B109" s="217" t="e">
        <f t="shared" ref="B109:Q109" si="66">B107/B57</f>
        <v>#VALUE!</v>
      </c>
      <c r="C109" s="217" t="e">
        <f>C107/C57</f>
        <v>#VALUE!</v>
      </c>
      <c r="D109" s="217">
        <f t="shared" si="66"/>
        <v>0.2239692155064861</v>
      </c>
      <c r="E109" s="217">
        <f t="shared" si="66"/>
        <v>0.2423483661593554</v>
      </c>
      <c r="F109" s="217">
        <f t="shared" si="66"/>
        <v>9.5671706132821055E-2</v>
      </c>
      <c r="G109" s="217">
        <f t="shared" si="66"/>
        <v>-1.5138744548006186E-2</v>
      </c>
      <c r="H109" s="217">
        <f t="shared" si="66"/>
        <v>0.14527091295851133</v>
      </c>
      <c r="I109" s="217">
        <f t="shared" si="66"/>
        <v>8.9906546681293678E-2</v>
      </c>
      <c r="J109" s="217">
        <f t="shared" si="66"/>
        <v>9.2128193482091378E-2</v>
      </c>
      <c r="K109" s="217">
        <f t="shared" si="66"/>
        <v>5.8835786867362065E-3</v>
      </c>
      <c r="L109" s="217">
        <f t="shared" si="66"/>
        <v>-0.10509185027714223</v>
      </c>
      <c r="M109" s="217">
        <f t="shared" si="66"/>
        <v>0.10423760845625439</v>
      </c>
      <c r="N109" s="217">
        <f t="shared" si="66"/>
        <v>0.11210107495177753</v>
      </c>
      <c r="O109" s="217">
        <f t="shared" si="66"/>
        <v>0.10764760523395411</v>
      </c>
      <c r="P109" s="217">
        <f t="shared" si="66"/>
        <v>0.12829298659332722</v>
      </c>
      <c r="Q109" s="217">
        <f t="shared" si="66"/>
        <v>0.12645566817705181</v>
      </c>
      <c r="R109" s="157"/>
      <c r="S109" s="157"/>
      <c r="T109" s="157"/>
      <c r="U109" s="157"/>
      <c r="V109" s="157"/>
      <c r="W109" s="158"/>
      <c r="X109" s="159"/>
      <c r="Y109" s="159"/>
      <c r="Z109" s="157"/>
      <c r="AA109" s="157"/>
      <c r="AB109" s="157"/>
      <c r="AC109" s="157"/>
      <c r="AD109" s="157"/>
      <c r="AE109" s="160"/>
    </row>
    <row r="110" spans="1:31" outlineLevel="1" x14ac:dyDescent="0.3">
      <c r="A110" s="129" t="s">
        <v>112</v>
      </c>
      <c r="B110" s="124"/>
      <c r="C110" s="145" t="e">
        <f>(C109-B109)*100</f>
        <v>#VALUE!</v>
      </c>
      <c r="D110" s="145" t="e">
        <f t="shared" ref="D110:Q110" si="67">(D109-C109)*100</f>
        <v>#VALUE!</v>
      </c>
      <c r="E110" s="145">
        <f>(E109-D109)*100</f>
        <v>1.8379150652869298</v>
      </c>
      <c r="F110" s="145">
        <f t="shared" si="67"/>
        <v>-14.667666002653434</v>
      </c>
      <c r="G110" s="145">
        <f t="shared" si="67"/>
        <v>-11.081045068082725</v>
      </c>
      <c r="H110" s="145">
        <f t="shared" si="67"/>
        <v>16.04096575065175</v>
      </c>
      <c r="I110" s="145">
        <f t="shared" si="67"/>
        <v>-5.5364366277217654</v>
      </c>
      <c r="J110" s="145">
        <f t="shared" si="67"/>
        <v>0.22216468007976997</v>
      </c>
      <c r="K110" s="145">
        <f t="shared" si="67"/>
        <v>-8.6244614795355172</v>
      </c>
      <c r="L110" s="145">
        <f t="shared" si="67"/>
        <v>-11.097542896387843</v>
      </c>
      <c r="M110" s="145">
        <f t="shared" si="67"/>
        <v>20.932945873339662</v>
      </c>
      <c r="N110" s="145">
        <f t="shared" si="67"/>
        <v>0.78634664955231359</v>
      </c>
      <c r="O110" s="145">
        <f t="shared" si="67"/>
        <v>-0.44534697178234134</v>
      </c>
      <c r="P110" s="145">
        <f t="shared" si="67"/>
        <v>2.0645381359373105</v>
      </c>
      <c r="Q110" s="145">
        <f t="shared" si="67"/>
        <v>-0.18373184162754075</v>
      </c>
      <c r="R110" s="124"/>
      <c r="S110" s="124"/>
      <c r="T110" s="124"/>
      <c r="U110" s="124"/>
      <c r="V110" s="124"/>
      <c r="W110" s="125"/>
      <c r="X110" s="126"/>
      <c r="Y110" s="126"/>
      <c r="Z110" s="124"/>
      <c r="AA110" s="124"/>
      <c r="AB110" s="124"/>
      <c r="AC110" s="124"/>
      <c r="AD110" s="124"/>
      <c r="AE110" s="127"/>
    </row>
    <row r="111" spans="1:31" outlineLevel="1" x14ac:dyDescent="0.3">
      <c r="A111" s="129"/>
      <c r="B111" s="124"/>
      <c r="C111" s="146"/>
      <c r="D111" s="146"/>
      <c r="E111" s="146"/>
      <c r="F111" s="146"/>
      <c r="G111" s="146"/>
      <c r="H111" s="146"/>
      <c r="I111" s="146"/>
      <c r="J111" s="146"/>
      <c r="K111" s="146"/>
      <c r="L111" s="146"/>
      <c r="M111" s="147"/>
      <c r="N111" s="147"/>
      <c r="O111" s="147"/>
      <c r="P111" s="147"/>
      <c r="Q111" s="147"/>
      <c r="R111" s="124"/>
      <c r="S111" s="124"/>
      <c r="T111" s="124"/>
      <c r="U111" s="124"/>
      <c r="V111" s="124"/>
      <c r="W111" s="125"/>
      <c r="X111" s="126"/>
      <c r="Y111" s="126"/>
      <c r="Z111" s="124"/>
      <c r="AA111" s="124"/>
      <c r="AB111" s="124"/>
      <c r="AC111" s="124"/>
      <c r="AD111" s="124"/>
      <c r="AE111" s="127"/>
    </row>
    <row r="112" spans="1:31" outlineLevel="1" x14ac:dyDescent="0.3">
      <c r="A112" s="79" t="s">
        <v>113</v>
      </c>
      <c r="B112" s="124"/>
      <c r="C112" s="130">
        <f t="shared" ref="C112:L112" si="68">C114/(SUM(B167,C167,B168,C168)/2)</f>
        <v>5.6778432546560363E-2</v>
      </c>
      <c r="D112" s="130">
        <f t="shared" si="68"/>
        <v>8.2691896937718043E-2</v>
      </c>
      <c r="E112" s="130">
        <f t="shared" si="68"/>
        <v>8.4241035583494897E-2</v>
      </c>
      <c r="F112" s="130">
        <f t="shared" si="68"/>
        <v>8.2589119317758253E-2</v>
      </c>
      <c r="G112" s="130">
        <f t="shared" si="68"/>
        <v>8.902091330455697E-2</v>
      </c>
      <c r="H112" s="130">
        <f t="shared" si="68"/>
        <v>7.146326219043618E-2</v>
      </c>
      <c r="I112" s="130">
        <f t="shared" si="68"/>
        <v>6.1639065616921819E-2</v>
      </c>
      <c r="J112" s="130">
        <f t="shared" si="68"/>
        <v>6.5604383316560447E-2</v>
      </c>
      <c r="K112" s="130">
        <f t="shared" si="68"/>
        <v>5.1825639115401126E-2</v>
      </c>
      <c r="L112" s="130">
        <f t="shared" si="68"/>
        <v>5.6470930338222196E-2</v>
      </c>
      <c r="M112" s="123">
        <v>0.06</v>
      </c>
      <c r="N112" s="123">
        <v>0.06</v>
      </c>
      <c r="O112" s="123">
        <v>0.06</v>
      </c>
      <c r="P112" s="123">
        <v>0.04</v>
      </c>
      <c r="Q112" s="123">
        <f t="shared" ref="Q112" si="69">P112</f>
        <v>0.04</v>
      </c>
      <c r="R112" s="124"/>
      <c r="S112" s="124"/>
      <c r="T112" s="124"/>
      <c r="U112" s="124"/>
      <c r="V112" s="124"/>
      <c r="W112" s="125"/>
      <c r="X112" s="126"/>
      <c r="Y112" s="126"/>
      <c r="Z112" s="124"/>
      <c r="AA112" s="124"/>
      <c r="AB112" s="124"/>
      <c r="AC112" s="121"/>
      <c r="AD112" s="124"/>
      <c r="AE112" s="127"/>
    </row>
    <row r="113" spans="1:32" s="104" customFormat="1" outlineLevel="1" x14ac:dyDescent="0.3">
      <c r="A113" s="104" t="s">
        <v>114</v>
      </c>
      <c r="B113" s="225"/>
      <c r="C113" s="225"/>
      <c r="D113" s="225"/>
      <c r="E113" s="225"/>
      <c r="F113" s="225"/>
      <c r="G113" s="225"/>
      <c r="H113" s="225"/>
      <c r="I113" s="225"/>
      <c r="J113" s="225"/>
      <c r="K113" s="225"/>
      <c r="L113" s="225"/>
      <c r="M113" s="233">
        <f>M112*(SUM(L167,M167,L168,M168)/2)</f>
        <v>12.114360180314996</v>
      </c>
      <c r="N113" s="233">
        <f>N112*(SUM(M167,N167,M168,N168)/2)</f>
        <v>9.9610595423071882</v>
      </c>
      <c r="O113" s="233">
        <f>O112*(SUM(N167,O167,N168,O168)/2)</f>
        <v>6.7048532734518753</v>
      </c>
      <c r="P113" s="233">
        <f>P112*(SUM(O167,P167,O168,P168)/2)</f>
        <v>1.9808104851641022</v>
      </c>
      <c r="Q113" s="233">
        <f>Q112*(SUM(P167,Q167,P168,Q168)/2)</f>
        <v>-0.89586844478529037</v>
      </c>
      <c r="R113" s="225"/>
      <c r="S113" s="225"/>
      <c r="T113" s="225"/>
      <c r="U113" s="225"/>
      <c r="V113" s="225"/>
      <c r="W113" s="227"/>
      <c r="X113" s="228"/>
      <c r="Y113" s="228"/>
      <c r="Z113" s="225"/>
      <c r="AA113" s="225"/>
      <c r="AB113" s="225"/>
      <c r="AC113" s="229"/>
      <c r="AD113" s="225"/>
      <c r="AE113" s="230"/>
    </row>
    <row r="114" spans="1:32" outlineLevel="1" x14ac:dyDescent="0.3">
      <c r="A114" s="79" t="s">
        <v>115</v>
      </c>
      <c r="B114" s="140">
        <f>CHOOSE(IF($B$1=2,2,1),'GAAP-IFRS'!E16,IF('Broker Actual'!E16="-",'GAAP-IFRS'!E16,'Broker Actual'!E16))</f>
        <v>0</v>
      </c>
      <c r="C114" s="140">
        <f>CHOOSE(IF($B$1=2,2,1),'GAAP-IFRS'!F16,IF('Broker Actual'!F16="-",'GAAP-IFRS'!F16,'Broker Actual'!F16))</f>
        <v>3.6034999999999999</v>
      </c>
      <c r="D114" s="140">
        <f>CHOOSE(IF($B$1=2,2,1),'GAAP-IFRS'!G16,IF('Broker Actual'!G16="-",'GAAP-IFRS'!G16,'Broker Actual'!G16))</f>
        <v>10.452999999999999</v>
      </c>
      <c r="E114" s="140">
        <f>CHOOSE(IF($B$1=2,2,1),'GAAP-IFRS'!H16,IF('Broker Actual'!H16="-",'GAAP-IFRS'!H16,'Broker Actual'!H16))</f>
        <v>10.754</v>
      </c>
      <c r="F114" s="140">
        <f>CHOOSE(IF($B$1=2,2,1),'GAAP-IFRS'!I16,IF('Broker Actual'!I16="-",'GAAP-IFRS'!I16,'Broker Actual'!I16))</f>
        <v>11.079000000000001</v>
      </c>
      <c r="G114" s="140">
        <f>CHOOSE(IF($B$1=2,2,1),'GAAP-IFRS'!J16,IF('Broker Actual'!J16="-",'GAAP-IFRS'!J16,'Broker Actual'!J16))</f>
        <v>16.766999999999999</v>
      </c>
      <c r="H114" s="140">
        <f>CHOOSE(IF($B$1=2,2,1),'GAAP-IFRS'!K16,IF('Broker Actual'!K16="-",'GAAP-IFRS'!K16,'Broker Actual'!K16))</f>
        <v>17.436499999999999</v>
      </c>
      <c r="I114" s="140">
        <f>CHOOSE(IF($B$1=2,2,1),'GAAP-IFRS'!L16,IF('Broker Actual'!L16="-",'GAAP-IFRS'!L16,'Broker Actual'!L16))</f>
        <v>13.055</v>
      </c>
      <c r="J114" s="140">
        <f>CHOOSE(IF($B$1=2,2,1),'GAAP-IFRS'!M16,IF('Broker Actual'!M16="-",'GAAP-IFRS'!M16,'Broker Actual'!M16))</f>
        <v>11.734</v>
      </c>
      <c r="K114" s="140">
        <f>CHOOSE(IF($B$1=2,2,1),'GAAP-IFRS'!N16,IF('Broker Actual'!N16="-",'GAAP-IFRS'!N16,'Broker Actual'!N16))</f>
        <v>6.4</v>
      </c>
      <c r="L114" s="140">
        <f>CHOOSE(IF($B$1=2,2,1),'GAAP-IFRS'!O16,IF('Broker Actual'!O16="-",'GAAP-IFRS'!O16,'Broker Actual'!O16))</f>
        <v>7.7679999999999998</v>
      </c>
      <c r="M114" s="148">
        <v>12</v>
      </c>
      <c r="N114" s="148">
        <v>10</v>
      </c>
      <c r="O114" s="148">
        <v>6</v>
      </c>
      <c r="P114" s="148">
        <v>21</v>
      </c>
      <c r="Q114" s="148">
        <v>21</v>
      </c>
      <c r="R114" s="124"/>
      <c r="S114" s="124"/>
      <c r="T114" s="124"/>
      <c r="U114" s="124"/>
      <c r="V114" s="124"/>
      <c r="W114" s="125"/>
      <c r="X114" s="126" t="s">
        <v>91</v>
      </c>
      <c r="Y114" s="126" t="s">
        <v>116</v>
      </c>
      <c r="Z114" s="124" cm="1">
        <f t="array" ref="Z114">_xll.FDSC("--",$A$1,""&amp;$X114&amp;"("&amp;$Y114&amp;","&amp;D$2&amp;",ANNUAL_ROLL,+1,0,,,'CURRENCY="&amp;$E$1&amp;"')")</f>
        <v>10.802</v>
      </c>
      <c r="AA114" s="124" cm="1">
        <f t="array" ref="AA114">_xll.FDSC("--",$A$1,""&amp;$X114&amp;"("&amp;$Y114&amp;","&amp;D$2&amp;",ANNUAL_ROLL,+2,0,,,'CURRENCY="&amp;$E$1&amp;"')")</f>
        <v>10</v>
      </c>
      <c r="AB114" s="124" t="str" cm="1">
        <f t="array" ref="AB114">_xll.FDSC("--",$A$1,""&amp;$X114&amp;"("&amp;$Y114&amp;","&amp;D$2&amp;",ANNUAL_ROLL,+3,0,,,'CURRENCY="&amp;$E$1&amp;"')")</f>
        <v>--</v>
      </c>
      <c r="AC114" s="124"/>
      <c r="AD114" s="124"/>
      <c r="AE114" s="127"/>
    </row>
    <row r="115" spans="1:32" outlineLevel="1" x14ac:dyDescent="0.3">
      <c r="B115" s="124"/>
      <c r="C115" s="124"/>
      <c r="D115" s="124"/>
      <c r="E115" s="124"/>
      <c r="F115" s="124"/>
      <c r="G115" s="124"/>
      <c r="H115" s="124"/>
      <c r="I115" s="124"/>
      <c r="J115" s="124"/>
      <c r="K115" s="124"/>
      <c r="L115" s="124"/>
      <c r="M115" s="124"/>
      <c r="N115" s="124"/>
      <c r="O115" s="124"/>
      <c r="P115" s="124"/>
      <c r="Q115" s="124"/>
      <c r="R115" s="124"/>
      <c r="S115" s="124"/>
      <c r="T115" s="124"/>
      <c r="U115" s="124"/>
      <c r="V115" s="124"/>
      <c r="W115" s="125"/>
      <c r="X115" s="126"/>
      <c r="Y115" s="126"/>
      <c r="Z115" s="124"/>
      <c r="AA115" s="124"/>
      <c r="AB115" s="124"/>
      <c r="AC115" s="124"/>
      <c r="AD115" s="124"/>
      <c r="AE115" s="127"/>
    </row>
    <row r="116" spans="1:32" outlineLevel="1" x14ac:dyDescent="0.3">
      <c r="A116" s="41" t="s">
        <v>117</v>
      </c>
      <c r="B116" s="140">
        <f>CHOOSE(IF($B$1=2,2,1),'GAAP-IFRS'!E17,IF('Broker Actual'!E17="-",'GAAP-IFRS'!E17,'Broker Actual'!E17))</f>
        <v>0</v>
      </c>
      <c r="C116" s="140">
        <f>CHOOSE(IF($B$1=2,2,1),'GAAP-IFRS'!F17,IF('Broker Actual'!F17="-",'GAAP-IFRS'!F17,'Broker Actual'!F17))</f>
        <v>0</v>
      </c>
      <c r="D116" s="140">
        <f>CHOOSE(IF($B$1=2,2,1),'GAAP-IFRS'!G17,IF('Broker Actual'!G17="-",'GAAP-IFRS'!G17,'Broker Actual'!G17))</f>
        <v>0</v>
      </c>
      <c r="E116" s="140">
        <f>CHOOSE(IF($B$1=2,2,1),'GAAP-IFRS'!H17,IF('Broker Actual'!H17="-",'GAAP-IFRS'!H17,'Broker Actual'!H17))</f>
        <v>0</v>
      </c>
      <c r="F116" s="140">
        <f>CHOOSE(IF($B$1=2,2,1),'GAAP-IFRS'!I17,IF('Broker Actual'!I17="-",'GAAP-IFRS'!I17,'Broker Actual'!I17))</f>
        <v>0</v>
      </c>
      <c r="G116" s="140">
        <f>CHOOSE(IF($B$1=2,2,1),'GAAP-IFRS'!J17,IF('Broker Actual'!J17="-",'GAAP-IFRS'!J17,'Broker Actual'!J17))</f>
        <v>0</v>
      </c>
      <c r="H116" s="140">
        <f>CHOOSE(IF($B$1=2,2,1),'GAAP-IFRS'!K17,IF('Broker Actual'!K17="-",'GAAP-IFRS'!K17,'Broker Actual'!K17))</f>
        <v>0</v>
      </c>
      <c r="I116" s="140">
        <f>CHOOSE(IF($B$1=2,2,1),'GAAP-IFRS'!L17,IF('Broker Actual'!L17="-",'GAAP-IFRS'!L17,'Broker Actual'!L17))</f>
        <v>0</v>
      </c>
      <c r="J116" s="140">
        <f>CHOOSE(IF($B$1=2,2,1),'GAAP-IFRS'!M17,IF('Broker Actual'!M17="-",'GAAP-IFRS'!M17,'Broker Actual'!M17))</f>
        <v>0</v>
      </c>
      <c r="K116" s="140">
        <f>CHOOSE(IF($B$1=2,2,1),'GAAP-IFRS'!N17,IF('Broker Actual'!N17="-",'GAAP-IFRS'!N17,'Broker Actual'!N17))</f>
        <v>0</v>
      </c>
      <c r="L116" s="140">
        <f>CHOOSE(IF($B$1=2,2,1),'GAAP-IFRS'!O17,IF('Broker Actual'!O17="-",'GAAP-IFRS'!O17,'Broker Actual'!O17))</f>
        <v>0</v>
      </c>
      <c r="M116" s="148">
        <v>0</v>
      </c>
      <c r="N116" s="148">
        <v>0</v>
      </c>
      <c r="O116" s="148">
        <f t="shared" ref="N116:Q117" si="70">N116</f>
        <v>0</v>
      </c>
      <c r="P116" s="148">
        <f t="shared" si="70"/>
        <v>0</v>
      </c>
      <c r="Q116" s="148">
        <f t="shared" si="70"/>
        <v>0</v>
      </c>
      <c r="R116" s="124"/>
      <c r="S116" s="124"/>
      <c r="T116" s="124"/>
      <c r="U116" s="124"/>
      <c r="V116" s="124"/>
      <c r="W116" s="125"/>
      <c r="X116" s="126"/>
      <c r="Y116" s="126"/>
      <c r="Z116" s="124"/>
      <c r="AA116" s="124"/>
      <c r="AB116" s="124"/>
      <c r="AC116" s="121"/>
      <c r="AD116" s="124"/>
      <c r="AE116" s="127"/>
    </row>
    <row r="117" spans="1:32" outlineLevel="1" x14ac:dyDescent="0.3">
      <c r="A117" s="79" t="s">
        <v>118</v>
      </c>
      <c r="B117" s="140">
        <f>CHOOSE(IF($B$1=2,2,1),'GAAP-IFRS'!E18,IF('Broker Actual'!E18="-",'GAAP-IFRS'!E18,'Broker Actual'!E18))</f>
        <v>0.161</v>
      </c>
      <c r="C117" s="140">
        <f>CHOOSE(IF($B$1=2,2,1),'GAAP-IFRS'!F18,IF('Broker Actual'!F18="-",'GAAP-IFRS'!F18,'Broker Actual'!F18))</f>
        <v>0</v>
      </c>
      <c r="D117" s="140">
        <f>CHOOSE(IF($B$1=2,2,1),'GAAP-IFRS'!G18,IF('Broker Actual'!G18="-",'GAAP-IFRS'!G18,'Broker Actual'!G18))</f>
        <v>0.107</v>
      </c>
      <c r="E117" s="140">
        <f>CHOOSE(IF($B$1=2,2,1),'GAAP-IFRS'!H18,IF('Broker Actual'!H18="-",'GAAP-IFRS'!H18,'Broker Actual'!H18))</f>
        <v>4.681</v>
      </c>
      <c r="F117" s="140">
        <f>CHOOSE(IF($B$1=2,2,1),'GAAP-IFRS'!I18,IF('Broker Actual'!I18="-",'GAAP-IFRS'!I18,'Broker Actual'!I18))</f>
        <v>-1.288</v>
      </c>
      <c r="G117" s="140">
        <f>CHOOSE(IF($B$1=2,2,1),'GAAP-IFRS'!J18,IF('Broker Actual'!J18="-",'GAAP-IFRS'!J18,'Broker Actual'!J18))</f>
        <v>2.2480000000000002</v>
      </c>
      <c r="H117" s="140">
        <f>CHOOSE(IF($B$1=2,2,1),'GAAP-IFRS'!K18,IF('Broker Actual'!K18="-",'GAAP-IFRS'!K18,'Broker Actual'!K18))</f>
        <v>0.08</v>
      </c>
      <c r="I117" s="140">
        <f>CHOOSE(IF($B$1=2,2,1),'GAAP-IFRS'!L18,IF('Broker Actual'!L18="-",'GAAP-IFRS'!L18,'Broker Actual'!L18))</f>
        <v>0.28899999999999998</v>
      </c>
      <c r="J117" s="140">
        <f>CHOOSE(IF($B$1=2,2,1),'GAAP-IFRS'!M18,IF('Broker Actual'!M18="-",'GAAP-IFRS'!M18,'Broker Actual'!M18))</f>
        <v>-36.11</v>
      </c>
      <c r="K117" s="140">
        <f>CHOOSE(IF($B$1=2,2,1),'GAAP-IFRS'!N18,IF('Broker Actual'!N18="-",'GAAP-IFRS'!N18,'Broker Actual'!N18))</f>
        <v>-1.036</v>
      </c>
      <c r="L117" s="140">
        <f>CHOOSE(IF($B$1=2,2,1),'GAAP-IFRS'!O18,IF('Broker Actual'!O18="-",'GAAP-IFRS'!O18,'Broker Actual'!O18))</f>
        <v>2.2839999999999998</v>
      </c>
      <c r="M117" s="148">
        <v>0</v>
      </c>
      <c r="N117" s="148">
        <f t="shared" si="70"/>
        <v>0</v>
      </c>
      <c r="O117" s="148">
        <f t="shared" si="70"/>
        <v>0</v>
      </c>
      <c r="P117" s="148">
        <f t="shared" si="70"/>
        <v>0</v>
      </c>
      <c r="Q117" s="148">
        <f t="shared" si="70"/>
        <v>0</v>
      </c>
      <c r="R117" s="124"/>
      <c r="S117" s="124"/>
      <c r="T117" s="124"/>
      <c r="U117" s="124"/>
      <c r="V117" s="124"/>
      <c r="W117" s="125"/>
      <c r="X117" s="126"/>
      <c r="Y117" s="126"/>
      <c r="Z117" s="124"/>
      <c r="AA117" s="124"/>
      <c r="AB117" s="124"/>
      <c r="AC117" s="124"/>
      <c r="AD117" s="124"/>
      <c r="AE117" s="127"/>
    </row>
    <row r="118" spans="1:32" outlineLevel="1" x14ac:dyDescent="0.3">
      <c r="B118" s="124"/>
      <c r="C118" s="124"/>
      <c r="D118" s="124"/>
      <c r="E118" s="124"/>
      <c r="F118" s="124"/>
      <c r="G118" s="124"/>
      <c r="H118" s="124"/>
      <c r="I118" s="124"/>
      <c r="J118" s="124"/>
      <c r="K118" s="124"/>
      <c r="L118" s="141"/>
      <c r="M118" s="124"/>
      <c r="N118" s="124"/>
      <c r="O118" s="124"/>
      <c r="P118" s="124"/>
      <c r="Q118" s="124"/>
      <c r="R118" s="124"/>
      <c r="S118" s="124"/>
      <c r="T118" s="124"/>
      <c r="U118" s="124"/>
      <c r="V118" s="124"/>
      <c r="W118" s="125"/>
      <c r="X118" s="126"/>
      <c r="Y118" s="126"/>
      <c r="Z118" s="124"/>
      <c r="AA118" s="124"/>
      <c r="AB118" s="124"/>
      <c r="AC118" s="124"/>
      <c r="AD118" s="124"/>
      <c r="AE118" s="127"/>
    </row>
    <row r="119" spans="1:32" outlineLevel="1" x14ac:dyDescent="0.3">
      <c r="A119" s="131" t="s">
        <v>119</v>
      </c>
      <c r="B119" s="141" t="e">
        <f t="shared" ref="B119:K119" si="71">B121-(B107-B114+B116-B117)</f>
        <v>#VALUE!</v>
      </c>
      <c r="C119" s="141" t="e">
        <f t="shared" si="71"/>
        <v>#VALUE!</v>
      </c>
      <c r="D119" s="141">
        <f t="shared" si="71"/>
        <v>51.921999999999997</v>
      </c>
      <c r="E119" s="141">
        <f t="shared" si="71"/>
        <v>52.326999999999991</v>
      </c>
      <c r="F119" s="141">
        <f t="shared" si="71"/>
        <v>31.347000000000001</v>
      </c>
      <c r="G119" s="141">
        <f t="shared" si="71"/>
        <v>7.0909999999999993</v>
      </c>
      <c r="H119" s="141">
        <f t="shared" si="71"/>
        <v>13.070499999999996</v>
      </c>
      <c r="I119" s="141">
        <f t="shared" si="71"/>
        <v>27.637</v>
      </c>
      <c r="J119" s="141">
        <f t="shared" si="71"/>
        <v>-15.451999999999998</v>
      </c>
      <c r="K119" s="141">
        <f t="shared" si="71"/>
        <v>13.315000000000001</v>
      </c>
      <c r="L119" s="141">
        <f>L121-(L107-L114+L116-L117)</f>
        <v>-2.2894999999999968</v>
      </c>
      <c r="M119" s="148">
        <v>0</v>
      </c>
      <c r="N119" s="148">
        <f t="shared" ref="N119:Q119" si="72">M119</f>
        <v>0</v>
      </c>
      <c r="O119" s="148">
        <f t="shared" si="72"/>
        <v>0</v>
      </c>
      <c r="P119" s="148">
        <f t="shared" si="72"/>
        <v>0</v>
      </c>
      <c r="Q119" s="148">
        <f t="shared" si="72"/>
        <v>0</v>
      </c>
      <c r="R119" s="124"/>
      <c r="S119" s="124"/>
      <c r="T119" s="124"/>
      <c r="U119" s="124"/>
      <c r="V119" s="124"/>
      <c r="W119" s="125"/>
      <c r="X119" s="126"/>
      <c r="Y119" s="126"/>
      <c r="Z119" s="124"/>
      <c r="AA119" s="124"/>
      <c r="AB119" s="124"/>
      <c r="AC119" s="124"/>
      <c r="AD119" s="124"/>
      <c r="AE119" s="127"/>
    </row>
    <row r="120" spans="1:32" outlineLevel="1" x14ac:dyDescent="0.3">
      <c r="B120" s="124"/>
      <c r="C120" s="124"/>
      <c r="D120" s="124"/>
      <c r="E120" s="124"/>
      <c r="F120" s="124"/>
      <c r="G120" s="124"/>
      <c r="H120" s="124"/>
      <c r="I120" s="124"/>
      <c r="J120" s="124"/>
      <c r="K120" s="124"/>
      <c r="L120" s="141"/>
      <c r="M120" s="216"/>
      <c r="N120" s="216"/>
      <c r="O120" s="216"/>
      <c r="P120" s="124"/>
      <c r="Q120" s="124"/>
      <c r="R120" s="124"/>
      <c r="S120" s="124"/>
      <c r="T120" s="124"/>
      <c r="U120" s="124"/>
      <c r="V120" s="124"/>
      <c r="W120" s="125"/>
      <c r="X120" s="126"/>
      <c r="Y120" s="126"/>
      <c r="Z120" s="124"/>
      <c r="AA120" s="124"/>
      <c r="AB120" s="124"/>
      <c r="AC120" s="124"/>
      <c r="AD120" s="124"/>
      <c r="AE120" s="127"/>
    </row>
    <row r="121" spans="1:32" outlineLevel="1" x14ac:dyDescent="0.3">
      <c r="A121" s="79" t="s">
        <v>120</v>
      </c>
      <c r="B121" s="140">
        <f>CHOOSE(IF($B$1=2,2,1),'GAAP-IFRS'!E19,IF('Broker Actual'!E19="-",'GAAP-IFRS'!E19,'Broker Actual'!E19))</f>
        <v>49.58</v>
      </c>
      <c r="C121" s="140">
        <f>CHOOSE(IF($B$1=2,2,1),'GAAP-IFRS'!F19,IF('Broker Actual'!F19="-",'GAAP-IFRS'!F19,'Broker Actual'!F19))</f>
        <v>106.4765</v>
      </c>
      <c r="D121" s="140">
        <f>CHOOSE(IF($B$1=2,2,1),'GAAP-IFRS'!G19,IF('Broker Actual'!G19="-",'GAAP-IFRS'!G19,'Broker Actual'!G19))</f>
        <v>100.962</v>
      </c>
      <c r="E121" s="140">
        <f>CHOOSE(IF($B$1=2,2,1),'GAAP-IFRS'!H19,IF('Broker Actual'!H19="-",'GAAP-IFRS'!H19,'Broker Actual'!H19))</f>
        <v>106.19199999999999</v>
      </c>
      <c r="F121" s="140">
        <f>CHOOSE(IF($B$1=2,2,1),'GAAP-IFRS'!I19,IF('Broker Actual'!I19="-",'GAAP-IFRS'!I19,'Broker Actual'!I19))</f>
        <v>46.856000000000002</v>
      </c>
      <c r="G121" s="140">
        <f>CHOOSE(IF($B$1=2,2,1),'GAAP-IFRS'!J19,IF('Broker Actual'!J19="-",'GAAP-IFRS'!J19,'Broker Actual'!J19))</f>
        <v>-15.624000000000001</v>
      </c>
      <c r="H121" s="140">
        <f>CHOOSE(IF($B$1=2,2,1),'GAAP-IFRS'!K19,IF('Broker Actual'!K19="-",'GAAP-IFRS'!K19,'Broker Actual'!K19))</f>
        <v>29.154</v>
      </c>
      <c r="I121" s="140">
        <f>CHOOSE(IF($B$1=2,2,1),'GAAP-IFRS'!L19,IF('Broker Actual'!L19="-",'GAAP-IFRS'!L19,'Broker Actual'!L19))</f>
        <v>36.093000000000004</v>
      </c>
      <c r="J121" s="140">
        <f>CHOOSE(IF($B$1=2,2,1),'GAAP-IFRS'!M19,IF('Broker Actual'!M19="-",'GAAP-IFRS'!M19,'Broker Actual'!M19))</f>
        <v>37.524000000000001</v>
      </c>
      <c r="K121" s="140">
        <f>CHOOSE(IF($B$1=2,2,1),'GAAP-IFRS'!N19,IF('Broker Actual'!N19="-",'GAAP-IFRS'!N19,'Broker Actual'!N19))</f>
        <v>10.351000000000001</v>
      </c>
      <c r="L121" s="140">
        <f>CHOOSE(IF($B$1=2,2,1),'GAAP-IFRS'!O19,IF('Broker Actual'!O19="-",'GAAP-IFRS'!O19,'Broker Actual'!O19))</f>
        <v>-64.841499999999996</v>
      </c>
      <c r="M121" s="141">
        <f>M107-M114+M116-M117+M119</f>
        <v>45.789074370751337</v>
      </c>
      <c r="N121" s="141">
        <f t="shared" ref="N121:Q121" si="73">N107-N114+N116-N117+N119</f>
        <v>70.395283570623974</v>
      </c>
      <c r="O121" s="141">
        <f t="shared" si="73"/>
        <v>74.656914249155193</v>
      </c>
      <c r="P121" s="141">
        <f t="shared" si="73"/>
        <v>82.935967780001192</v>
      </c>
      <c r="Q121" s="141">
        <f t="shared" si="73"/>
        <v>91.455195474876291</v>
      </c>
      <c r="R121" s="124"/>
      <c r="S121" s="124"/>
      <c r="T121" s="124"/>
      <c r="U121" s="124"/>
      <c r="V121" s="124"/>
      <c r="W121" s="125"/>
      <c r="X121" s="126" t="s">
        <v>91</v>
      </c>
      <c r="Y121" s="126" t="s">
        <v>121</v>
      </c>
      <c r="Z121" s="124" cm="1">
        <f t="array" ref="Z121">_xll.FDSC("--",$A$1,""&amp;$X121&amp;"("&amp;$Y121&amp;","&amp;D$2&amp;",ANNUAL_ROLL,+1,0,,,'CURRENCY="&amp;$E$1&amp;"')")</f>
        <v>54.158000000000001</v>
      </c>
      <c r="AA121" s="124" cm="1">
        <f t="array" ref="AA121">_xll.FDSC("--",$A$1,""&amp;$X121&amp;"("&amp;$Y121&amp;","&amp;D$2&amp;",ANNUAL_ROLL,+2,0,,,'CURRENCY="&amp;$E$1&amp;"')")</f>
        <v>49.351999999999997</v>
      </c>
      <c r="AB121" s="124" t="str" cm="1">
        <f t="array" ref="AB121">_xll.FDSC("--",$A$1,""&amp;$X121&amp;"("&amp;$Y121&amp;","&amp;D$2&amp;",ANNUAL_ROLL,+3,0,,,'CURRENCY="&amp;$E$1&amp;"')")</f>
        <v>--</v>
      </c>
      <c r="AC121" s="124"/>
      <c r="AD121" s="124"/>
      <c r="AE121" s="127"/>
    </row>
    <row r="122" spans="1:32" s="118" customFormat="1" outlineLevel="1" x14ac:dyDescent="0.3">
      <c r="A122" s="129" t="s">
        <v>87</v>
      </c>
      <c r="B122" s="149"/>
      <c r="C122" s="130">
        <f>C121/B121-1</f>
        <v>1.147569584509883</v>
      </c>
      <c r="D122" s="130">
        <f t="shared" ref="D122:L122" si="74">D121/C121-1</f>
        <v>-5.1790770733448177E-2</v>
      </c>
      <c r="E122" s="130">
        <f t="shared" si="74"/>
        <v>5.1801667954279651E-2</v>
      </c>
      <c r="F122" s="130">
        <f t="shared" si="74"/>
        <v>-0.55876148862437847</v>
      </c>
      <c r="G122" s="130">
        <f t="shared" si="74"/>
        <v>-1.3334471572477378</v>
      </c>
      <c r="H122" s="130">
        <f t="shared" si="74"/>
        <v>-2.8659754224270353</v>
      </c>
      <c r="I122" s="130">
        <f t="shared" si="74"/>
        <v>0.23801193661247178</v>
      </c>
      <c r="J122" s="130">
        <f t="shared" si="74"/>
        <v>3.9647577092510877E-2</v>
      </c>
      <c r="K122" s="130">
        <f t="shared" si="74"/>
        <v>-0.72414987741178982</v>
      </c>
      <c r="L122" s="130">
        <f t="shared" si="74"/>
        <v>-7.2642739831900291</v>
      </c>
      <c r="M122" s="130">
        <f>M121/L121-1</f>
        <v>-1.7061692646029369</v>
      </c>
      <c r="N122" s="130">
        <f>N121/M121-1</f>
        <v>0.53738166883736649</v>
      </c>
      <c r="O122" s="130">
        <f t="shared" ref="O122:Q122" si="75">O121/N121-1</f>
        <v>6.0538582449998213E-2</v>
      </c>
      <c r="P122" s="130">
        <f t="shared" si="75"/>
        <v>0.1108946654721894</v>
      </c>
      <c r="Q122" s="130">
        <f t="shared" si="75"/>
        <v>0.10272054360628546</v>
      </c>
      <c r="R122" s="149"/>
      <c r="S122" s="149"/>
      <c r="T122" s="149"/>
      <c r="U122" s="149"/>
      <c r="V122" s="149"/>
      <c r="W122" s="150"/>
      <c r="X122" s="151"/>
      <c r="Y122" s="151"/>
      <c r="Z122" s="149"/>
      <c r="AA122" s="149"/>
      <c r="AB122" s="149"/>
      <c r="AC122" s="149"/>
      <c r="AD122" s="149"/>
      <c r="AE122" s="152"/>
      <c r="AF122" s="153"/>
    </row>
    <row r="123" spans="1:32" outlineLevel="1" x14ac:dyDescent="0.3">
      <c r="A123" s="129" t="s">
        <v>122</v>
      </c>
      <c r="B123" s="140">
        <f>CHOOSE(IF($B$1=2,2,1),'GAAP-IFRS'!E21,IF('Broker Actual'!E21="-",'GAAP-IFRS'!E21,'Broker Actual'!E21))</f>
        <v>19.422999999999998</v>
      </c>
      <c r="C123" s="140">
        <f>CHOOSE(IF($B$1=2,2,1),'GAAP-IFRS'!F21,IF('Broker Actual'!F21="-",'GAAP-IFRS'!F21,'Broker Actual'!F21))</f>
        <v>40.890999999999998</v>
      </c>
      <c r="D123" s="140">
        <f>CHOOSE(IF($B$1=2,2,1),'GAAP-IFRS'!G21,IF('Broker Actual'!G21="-",'GAAP-IFRS'!G21,'Broker Actual'!G21))</f>
        <v>38.298000000000002</v>
      </c>
      <c r="E123" s="140">
        <f>CHOOSE(IF($B$1=2,2,1),'GAAP-IFRS'!H21,IF('Broker Actual'!H21="-",'GAAP-IFRS'!H21,'Broker Actual'!H21))</f>
        <v>40.331000000000003</v>
      </c>
      <c r="F123" s="140">
        <f>CHOOSE(IF($B$1=2,2,1),'GAAP-IFRS'!I21,IF('Broker Actual'!I21="-",'GAAP-IFRS'!I21,'Broker Actual'!I21))</f>
        <v>17.835000000000001</v>
      </c>
      <c r="G123" s="140">
        <f>CHOOSE(IF($B$1=2,2,1),'GAAP-IFRS'!J21,IF('Broker Actual'!J21="-",'GAAP-IFRS'!J21,'Broker Actual'!J21))</f>
        <v>-8.0310000000000006</v>
      </c>
      <c r="H123" s="140">
        <f>CHOOSE(IF($B$1=2,2,1),'GAAP-IFRS'!K21,IF('Broker Actual'!K21="-",'GAAP-IFRS'!K21,'Broker Actual'!K21))</f>
        <v>9.1769999999999996</v>
      </c>
      <c r="I123" s="140">
        <f>CHOOSE(IF($B$1=2,2,1),'GAAP-IFRS'!L21,IF('Broker Actual'!L21="-",'GAAP-IFRS'!L21,'Broker Actual'!L21))</f>
        <v>9.5169999999999995</v>
      </c>
      <c r="J123" s="140">
        <f>CHOOSE(IF($B$1=2,2,1),'GAAP-IFRS'!M21,IF('Broker Actual'!M21="-",'GAAP-IFRS'!M21,'Broker Actual'!M21))</f>
        <v>9.3480000000000008</v>
      </c>
      <c r="K123" s="140">
        <f>CHOOSE(IF($B$1=2,2,1),'GAAP-IFRS'!N21,IF('Broker Actual'!N21="-",'GAAP-IFRS'!N21,'Broker Actual'!N21))</f>
        <v>3.9910000000000001</v>
      </c>
      <c r="L123" s="140">
        <f>CHOOSE(IF($B$1=2,2,1),'GAAP-IFRS'!O21,IF('Broker Actual'!O21="-",'GAAP-IFRS'!O21,'Broker Actual'!O21))</f>
        <v>-13.486499999999999</v>
      </c>
      <c r="M123" s="141">
        <f>M121*M124</f>
        <v>11.905159336395348</v>
      </c>
      <c r="N123" s="141">
        <f t="shared" ref="N123:Q123" si="76">N121*N124</f>
        <v>18.302773728362233</v>
      </c>
      <c r="O123" s="141">
        <f t="shared" si="76"/>
        <v>19.41079770478035</v>
      </c>
      <c r="P123" s="141">
        <f t="shared" si="76"/>
        <v>21.563351622800312</v>
      </c>
      <c r="Q123" s="141">
        <f t="shared" si="76"/>
        <v>23.778350823467836</v>
      </c>
      <c r="R123" s="124"/>
      <c r="S123" s="124"/>
      <c r="T123" s="124"/>
      <c r="U123" s="124"/>
      <c r="V123" s="124"/>
      <c r="W123" s="125"/>
      <c r="X123" s="126" t="s">
        <v>91</v>
      </c>
      <c r="Y123" s="126" t="s">
        <v>123</v>
      </c>
      <c r="Z123" s="124" cm="1">
        <f t="array" ref="Z123">_xll.FDSC("--",$A$1,""&amp;$X123&amp;"("&amp;$Y123&amp;","&amp;D$2&amp;",ANNUAL_ROLL,+1,0,,,'CURRENCY="&amp;$E$1&amp;"')")</f>
        <v>13.954000000000001</v>
      </c>
      <c r="AA123" s="124" cm="1">
        <f t="array" ref="AA123">_xll.FDSC("--",$A$1,""&amp;$X123&amp;"("&amp;$Y123&amp;","&amp;D$2&amp;",ANNUAL_ROLL,+2,0,,,'CURRENCY="&amp;$E$1&amp;"')")</f>
        <v>14.805999999999999</v>
      </c>
      <c r="AB123" s="124" t="str" cm="1">
        <f t="array" ref="AB123">_xll.FDSC("--",$A$1,""&amp;$X123&amp;"("&amp;$Y123&amp;","&amp;D$2&amp;",ANNUAL_ROLL,+3,0,,,'CURRENCY="&amp;$E$1&amp;"')")</f>
        <v>--</v>
      </c>
      <c r="AC123" s="124"/>
      <c r="AD123" s="124"/>
      <c r="AE123" s="127"/>
    </row>
    <row r="124" spans="1:32" outlineLevel="1" x14ac:dyDescent="0.3">
      <c r="A124" s="129" t="s">
        <v>124</v>
      </c>
      <c r="B124" s="130">
        <f>B123/B121</f>
        <v>0.39175070592981037</v>
      </c>
      <c r="C124" s="130">
        <f t="shared" ref="C124:K124" si="77">C123/C121</f>
        <v>0.38403779237672159</v>
      </c>
      <c r="D124" s="130">
        <f t="shared" si="77"/>
        <v>0.3793308373447436</v>
      </c>
      <c r="E124" s="130">
        <f t="shared" si="77"/>
        <v>0.37979320476118733</v>
      </c>
      <c r="F124" s="130">
        <f t="shared" si="77"/>
        <v>0.38063428376301861</v>
      </c>
      <c r="G124" s="130">
        <f t="shared" si="77"/>
        <v>0.51401689708141318</v>
      </c>
      <c r="H124" s="130">
        <f t="shared" si="77"/>
        <v>0.31477670302531385</v>
      </c>
      <c r="I124" s="130">
        <f t="shared" si="77"/>
        <v>0.26367993793810429</v>
      </c>
      <c r="J124" s="130">
        <f t="shared" si="77"/>
        <v>0.24912056283978257</v>
      </c>
      <c r="K124" s="130">
        <f t="shared" si="77"/>
        <v>0.38556661192155345</v>
      </c>
      <c r="L124" s="130">
        <f>L123/L121</f>
        <v>0.20799179537796011</v>
      </c>
      <c r="M124" s="123">
        <v>0.26</v>
      </c>
      <c r="N124" s="123">
        <v>0.26</v>
      </c>
      <c r="O124" s="123">
        <v>0.26</v>
      </c>
      <c r="P124" s="123">
        <f t="shared" ref="P124:Q124" si="78">O124</f>
        <v>0.26</v>
      </c>
      <c r="Q124" s="123">
        <f t="shared" si="78"/>
        <v>0.26</v>
      </c>
      <c r="R124" s="124"/>
      <c r="S124" s="124"/>
      <c r="T124" s="124"/>
      <c r="U124" s="124"/>
      <c r="V124" s="124"/>
      <c r="W124" s="125"/>
      <c r="X124" s="126"/>
      <c r="Y124" s="126"/>
      <c r="Z124" s="124"/>
      <c r="AA124" s="124"/>
      <c r="AB124" s="124"/>
      <c r="AC124" s="124"/>
      <c r="AD124" s="124"/>
      <c r="AE124" s="127"/>
    </row>
    <row r="125" spans="1:32" outlineLevel="1" x14ac:dyDescent="0.3">
      <c r="A125" s="129"/>
      <c r="B125" s="154"/>
      <c r="C125" s="141"/>
      <c r="D125" s="141"/>
      <c r="E125" s="141"/>
      <c r="F125" s="141"/>
      <c r="G125" s="141"/>
      <c r="H125" s="141"/>
      <c r="I125" s="141"/>
      <c r="J125" s="141"/>
      <c r="K125" s="141"/>
      <c r="L125" s="141"/>
      <c r="M125" s="124"/>
      <c r="N125" s="124"/>
      <c r="O125" s="123"/>
      <c r="P125" s="123"/>
      <c r="Q125" s="123"/>
      <c r="R125" s="124"/>
      <c r="S125" s="124"/>
      <c r="T125" s="124"/>
      <c r="U125" s="124"/>
      <c r="V125" s="124"/>
      <c r="W125" s="125"/>
      <c r="X125" s="126"/>
      <c r="Y125" s="126"/>
      <c r="Z125" s="124"/>
      <c r="AA125" s="124"/>
      <c r="AB125" s="124"/>
      <c r="AC125" s="124"/>
      <c r="AD125" s="124"/>
      <c r="AE125" s="127"/>
    </row>
    <row r="126" spans="1:32" outlineLevel="1" x14ac:dyDescent="0.3">
      <c r="A126" s="79" t="s">
        <v>125</v>
      </c>
      <c r="B126" s="141">
        <f t="shared" ref="B126:L126" si="79">B128-(B121-B123)</f>
        <v>-0.32199999999999918</v>
      </c>
      <c r="C126" s="141">
        <f t="shared" si="79"/>
        <v>-0.12749999999999773</v>
      </c>
      <c r="D126" s="141">
        <f t="shared" si="79"/>
        <v>0</v>
      </c>
      <c r="E126" s="141">
        <f t="shared" si="79"/>
        <v>0</v>
      </c>
      <c r="F126" s="141">
        <f t="shared" si="79"/>
        <v>0</v>
      </c>
      <c r="G126" s="141">
        <f t="shared" si="79"/>
        <v>0.70000000000000018</v>
      </c>
      <c r="H126" s="141">
        <f t="shared" si="79"/>
        <v>-2.2519999999999989</v>
      </c>
      <c r="I126" s="141">
        <f t="shared" si="79"/>
        <v>0</v>
      </c>
      <c r="J126" s="141">
        <f t="shared" si="79"/>
        <v>-0.59600000000000364</v>
      </c>
      <c r="K126" s="141">
        <f t="shared" si="79"/>
        <v>0.88199999999999878</v>
      </c>
      <c r="L126" s="141">
        <f t="shared" si="79"/>
        <v>-3.2480000000000047</v>
      </c>
      <c r="M126" s="148">
        <v>0</v>
      </c>
      <c r="N126" s="148">
        <f t="shared" ref="N126:Q126" si="80">M126</f>
        <v>0</v>
      </c>
      <c r="O126" s="148">
        <f t="shared" si="80"/>
        <v>0</v>
      </c>
      <c r="P126" s="148">
        <f t="shared" si="80"/>
        <v>0</v>
      </c>
      <c r="Q126" s="148">
        <f t="shared" si="80"/>
        <v>0</v>
      </c>
      <c r="R126" s="124"/>
      <c r="S126" s="124"/>
      <c r="T126" s="124"/>
      <c r="U126" s="124"/>
      <c r="V126" s="124"/>
      <c r="W126" s="125"/>
      <c r="X126" s="126"/>
      <c r="Y126" s="126"/>
      <c r="Z126" s="124"/>
      <c r="AA126" s="124"/>
      <c r="AB126" s="124"/>
      <c r="AC126" s="124"/>
      <c r="AD126" s="124"/>
      <c r="AE126" s="127"/>
    </row>
    <row r="127" spans="1:32" outlineLevel="1" x14ac:dyDescent="0.3">
      <c r="A127" s="129"/>
      <c r="B127" s="154"/>
      <c r="C127" s="141"/>
      <c r="D127" s="141"/>
      <c r="E127" s="141"/>
      <c r="F127" s="141"/>
      <c r="G127" s="141"/>
      <c r="H127" s="141"/>
      <c r="I127" s="141"/>
      <c r="J127" s="141"/>
      <c r="K127" s="141"/>
      <c r="L127" s="141"/>
      <c r="M127" s="216"/>
      <c r="N127" s="216"/>
      <c r="O127" s="219"/>
      <c r="P127" s="123"/>
      <c r="Q127" s="123"/>
      <c r="R127" s="124"/>
      <c r="S127" s="124"/>
      <c r="T127" s="124"/>
      <c r="U127" s="124"/>
      <c r="V127" s="124"/>
      <c r="W127" s="125"/>
      <c r="X127" s="126"/>
      <c r="Y127" s="126"/>
      <c r="Z127" s="124"/>
      <c r="AA127" s="124"/>
      <c r="AB127" s="124"/>
      <c r="AC127" s="124"/>
      <c r="AD127" s="124"/>
      <c r="AE127" s="127"/>
    </row>
    <row r="128" spans="1:32" s="118" customFormat="1" outlineLevel="1" x14ac:dyDescent="0.3">
      <c r="A128" s="118" t="s">
        <v>126</v>
      </c>
      <c r="B128" s="155">
        <f>CHOOSE(IF($B$1=2,2,1),'GAAP-IFRS'!E22,IF('Broker Actual'!E22="-",'GAAP-IFRS'!E22,'Broker Actual'!E22))</f>
        <v>29.835000000000001</v>
      </c>
      <c r="C128" s="155">
        <f>CHOOSE(IF($B$1=2,2,1),'GAAP-IFRS'!F22,IF('Broker Actual'!F22="-",'GAAP-IFRS'!F22,'Broker Actual'!F22))</f>
        <v>65.457999999999998</v>
      </c>
      <c r="D128" s="155">
        <f>CHOOSE(IF($B$1=2,2,1),'GAAP-IFRS'!G22,IF('Broker Actual'!G22="-",'GAAP-IFRS'!G22,'Broker Actual'!G22))</f>
        <v>62.664000000000001</v>
      </c>
      <c r="E128" s="155">
        <f>CHOOSE(IF($B$1=2,2,1),'GAAP-IFRS'!H22,IF('Broker Actual'!H22="-",'GAAP-IFRS'!H22,'Broker Actual'!H22))</f>
        <v>65.861000000000004</v>
      </c>
      <c r="F128" s="155">
        <f>CHOOSE(IF($B$1=2,2,1),'GAAP-IFRS'!I22,IF('Broker Actual'!I22="-",'GAAP-IFRS'!I22,'Broker Actual'!I22))</f>
        <v>29.021000000000001</v>
      </c>
      <c r="G128" s="155">
        <f>CHOOSE(IF($B$1=2,2,1),'GAAP-IFRS'!J22,IF('Broker Actual'!J22="-",'GAAP-IFRS'!J22,'Broker Actual'!J22))</f>
        <v>-6.8929999999999998</v>
      </c>
      <c r="H128" s="155">
        <f>CHOOSE(IF($B$1=2,2,1),'GAAP-IFRS'!K22,IF('Broker Actual'!K22="-",'GAAP-IFRS'!K22,'Broker Actual'!K22))</f>
        <v>17.725000000000001</v>
      </c>
      <c r="I128" s="155">
        <f>CHOOSE(IF($B$1=2,2,1),'GAAP-IFRS'!L22,IF('Broker Actual'!L22="-",'GAAP-IFRS'!L22,'Broker Actual'!L22))</f>
        <v>26.576000000000001</v>
      </c>
      <c r="J128" s="155">
        <f>CHOOSE(IF($B$1=2,2,1),'GAAP-IFRS'!M22,IF('Broker Actual'!M22="-",'GAAP-IFRS'!M22,'Broker Actual'!M22))</f>
        <v>27.58</v>
      </c>
      <c r="K128" s="155">
        <f>CHOOSE(IF($B$1=2,2,1),'GAAP-IFRS'!N22,IF('Broker Actual'!N22="-",'GAAP-IFRS'!N22,'Broker Actual'!N22))</f>
        <v>7.242</v>
      </c>
      <c r="L128" s="155">
        <f>CHOOSE(IF($B$1=2,2,1),'GAAP-IFRS'!O22,IF('Broker Actual'!O22="-",'GAAP-IFRS'!O22,'Broker Actual'!O22))</f>
        <v>-54.603000000000002</v>
      </c>
      <c r="M128" s="156">
        <f>M121-M123+M126</f>
        <v>33.883915034355987</v>
      </c>
      <c r="N128" s="156">
        <f>N121-N123+N126</f>
        <v>52.092509842261741</v>
      </c>
      <c r="O128" s="156">
        <f>O121-O123+O126</f>
        <v>55.246116544374843</v>
      </c>
      <c r="P128" s="156">
        <f>P121-P123+P126</f>
        <v>61.372616157200881</v>
      </c>
      <c r="Q128" s="156">
        <f>Q121-Q123+Q126</f>
        <v>67.676844651408459</v>
      </c>
      <c r="R128" s="157"/>
      <c r="S128" s="157"/>
      <c r="T128" s="157"/>
      <c r="U128" s="157"/>
      <c r="V128" s="157"/>
      <c r="W128" s="158"/>
      <c r="X128" s="159" t="s">
        <v>91</v>
      </c>
      <c r="Y128" s="159" t="s">
        <v>127</v>
      </c>
      <c r="Z128" s="157" cm="1">
        <f t="array" ref="Z128">_xll.FDSC("--",$A$1,""&amp;$X128&amp;"("&amp;$Y128&amp;","&amp;D$2&amp;",ANNUAL_ROLL,+1,0,,,'CURRENCY="&amp;$E$1&amp;"')")</f>
        <v>33.014000000000003</v>
      </c>
      <c r="AA128" s="157" t="e" cm="1">
        <f t="array" ref="AA128">_xll.FDSC("--",$A$1,""&amp;$X128&amp;"("&amp;$Y128&amp;","&amp;#REF!&amp;",ANNUAL_ROLL,+2,0,,,'CURRENCY="&amp;$E$1&amp;"')")</f>
        <v>#VALUE!</v>
      </c>
      <c r="AB128" s="157" t="str" cm="1">
        <f t="array" ref="AB128">_xll.FDSC("--",$A$1,""&amp;$X128&amp;"("&amp;$Y128&amp;","&amp;D$2&amp;",ANNUAL_ROLL,+3,0,,,'CURRENCY="&amp;$E$1&amp;"')")</f>
        <v>--</v>
      </c>
      <c r="AC128" s="157"/>
      <c r="AD128" s="157"/>
      <c r="AE128" s="160"/>
    </row>
    <row r="129" spans="1:32" s="118" customFormat="1" outlineLevel="1" x14ac:dyDescent="0.3">
      <c r="A129" s="129" t="s">
        <v>87</v>
      </c>
      <c r="B129" s="149"/>
      <c r="C129" s="130">
        <f>C128/B128-1</f>
        <v>1.1940003351768058</v>
      </c>
      <c r="D129" s="130">
        <f t="shared" ref="D129:L129" si="81">D128/C128-1</f>
        <v>-4.2683858351920234E-2</v>
      </c>
      <c r="E129" s="130">
        <f t="shared" si="81"/>
        <v>5.1018128430997178E-2</v>
      </c>
      <c r="F129" s="130">
        <f t="shared" si="81"/>
        <v>-0.5593598639559072</v>
      </c>
      <c r="G129" s="130">
        <f t="shared" si="81"/>
        <v>-1.2375176596257882</v>
      </c>
      <c r="H129" s="130">
        <f t="shared" si="81"/>
        <v>-3.5714492963876401</v>
      </c>
      <c r="I129" s="130">
        <f t="shared" si="81"/>
        <v>0.49935119887165014</v>
      </c>
      <c r="J129" s="130">
        <f t="shared" si="81"/>
        <v>3.7778446718844005E-2</v>
      </c>
      <c r="K129" s="130">
        <f t="shared" si="81"/>
        <v>-0.73741841914430739</v>
      </c>
      <c r="L129" s="130">
        <f t="shared" si="81"/>
        <v>-8.5397680198840114</v>
      </c>
      <c r="M129" s="130">
        <f>M128/L128-1</f>
        <v>-1.6205504282613772</v>
      </c>
      <c r="N129" s="130">
        <f>N128/M128-1</f>
        <v>0.53738166883736649</v>
      </c>
      <c r="O129" s="130">
        <f t="shared" ref="O129:Q129" si="82">O128/N128-1</f>
        <v>6.0538582449998213E-2</v>
      </c>
      <c r="P129" s="130">
        <f t="shared" si="82"/>
        <v>0.1108946654721894</v>
      </c>
      <c r="Q129" s="130">
        <f t="shared" si="82"/>
        <v>0.10272054360628546</v>
      </c>
      <c r="R129" s="149"/>
      <c r="S129" s="149"/>
      <c r="T129" s="149"/>
      <c r="U129" s="149"/>
      <c r="V129" s="149"/>
      <c r="W129" s="150"/>
      <c r="X129" s="151"/>
      <c r="Y129" s="151"/>
      <c r="Z129" s="149"/>
      <c r="AA129" s="149"/>
      <c r="AB129" s="149"/>
      <c r="AC129" s="149"/>
      <c r="AD129" s="149"/>
      <c r="AE129" s="152"/>
      <c r="AF129" s="153"/>
    </row>
    <row r="130" spans="1:32" s="118" customFormat="1" outlineLevel="1" x14ac:dyDescent="0.3">
      <c r="B130" s="157"/>
      <c r="C130" s="157"/>
      <c r="D130" s="157"/>
      <c r="E130" s="157"/>
      <c r="F130" s="157"/>
      <c r="G130" s="157"/>
      <c r="H130" s="157"/>
      <c r="I130" s="157"/>
      <c r="J130" s="157"/>
      <c r="K130" s="157"/>
      <c r="L130" s="157"/>
      <c r="M130" s="157"/>
      <c r="N130" s="157"/>
      <c r="O130" s="157"/>
      <c r="P130" s="157"/>
      <c r="Q130" s="157"/>
      <c r="R130" s="157"/>
      <c r="S130" s="157"/>
      <c r="T130" s="157"/>
      <c r="U130" s="157"/>
      <c r="V130" s="157"/>
      <c r="W130" s="158"/>
      <c r="X130" s="159"/>
      <c r="Y130" s="159"/>
      <c r="Z130" s="157"/>
      <c r="AA130" s="157"/>
      <c r="AB130" s="157"/>
      <c r="AC130" s="157"/>
      <c r="AD130" s="157"/>
      <c r="AE130" s="160"/>
    </row>
    <row r="131" spans="1:32" s="118" customFormat="1" outlineLevel="1" x14ac:dyDescent="0.3">
      <c r="A131" s="79" t="s">
        <v>128</v>
      </c>
      <c r="B131" s="137"/>
      <c r="C131" s="161"/>
      <c r="D131" s="161"/>
      <c r="E131" s="157"/>
      <c r="F131" s="157"/>
      <c r="G131" s="157"/>
      <c r="H131" s="157"/>
      <c r="I131" s="157"/>
      <c r="J131" s="157"/>
      <c r="K131" s="157"/>
      <c r="L131" s="157"/>
      <c r="M131" s="162">
        <v>15.6</v>
      </c>
      <c r="N131" s="162">
        <v>16</v>
      </c>
      <c r="O131" s="162">
        <v>16</v>
      </c>
      <c r="P131" s="162">
        <v>15</v>
      </c>
      <c r="Q131" s="162">
        <v>15</v>
      </c>
      <c r="R131" s="157"/>
      <c r="S131" s="157"/>
      <c r="T131" s="157"/>
      <c r="U131" s="157"/>
      <c r="V131" s="157"/>
      <c r="W131" s="158"/>
      <c r="X131" s="159"/>
      <c r="Y131" s="159"/>
      <c r="Z131" s="157"/>
      <c r="AA131" s="157"/>
      <c r="AB131" s="157"/>
      <c r="AC131" s="157"/>
      <c r="AD131" s="157"/>
      <c r="AE131" s="160"/>
    </row>
    <row r="132" spans="1:32" s="224" customFormat="1" outlineLevel="1" x14ac:dyDescent="0.3">
      <c r="A132" s="104" t="s">
        <v>129</v>
      </c>
      <c r="B132" s="231"/>
      <c r="C132" s="220"/>
      <c r="D132" s="220"/>
      <c r="E132" s="220"/>
      <c r="F132" s="220"/>
      <c r="G132" s="220"/>
      <c r="H132" s="220"/>
      <c r="I132" s="220"/>
      <c r="J132" s="220"/>
      <c r="K132" s="220"/>
      <c r="L132" s="220"/>
      <c r="M132" s="226">
        <f>M137*M131</f>
        <v>60.066940288176511</v>
      </c>
      <c r="N132" s="226">
        <f t="shared" ref="N132:Q132" si="83">N137*N131</f>
        <v>94.713654258657698</v>
      </c>
      <c r="O132" s="226">
        <f t="shared" si="83"/>
        <v>100.44748462613607</v>
      </c>
      <c r="P132" s="226">
        <f t="shared" si="83"/>
        <v>107.04526073930386</v>
      </c>
      <c r="Q132" s="226">
        <f t="shared" si="83"/>
        <v>118.04100811292173</v>
      </c>
      <c r="R132" s="220"/>
      <c r="S132" s="220"/>
      <c r="T132" s="220"/>
      <c r="U132" s="220"/>
      <c r="V132" s="220"/>
      <c r="W132" s="221"/>
      <c r="X132" s="222"/>
      <c r="Y132" s="222"/>
      <c r="Z132" s="220"/>
      <c r="AA132" s="220"/>
      <c r="AB132" s="220"/>
      <c r="AC132" s="220"/>
      <c r="AD132" s="220"/>
      <c r="AE132" s="223"/>
    </row>
    <row r="133" spans="1:32" s="118" customFormat="1" outlineLevel="1" x14ac:dyDescent="0.3">
      <c r="A133" s="79" t="s">
        <v>130</v>
      </c>
      <c r="B133" s="157"/>
      <c r="C133" s="157"/>
      <c r="D133" s="157"/>
      <c r="E133" s="157"/>
      <c r="F133" s="157"/>
      <c r="G133" s="157"/>
      <c r="H133" s="157"/>
      <c r="I133" s="157"/>
      <c r="J133" s="157"/>
      <c r="K133" s="157"/>
      <c r="L133" s="157"/>
      <c r="M133" s="163">
        <f>-M244/M132</f>
        <v>3.8852938051246726E-2</v>
      </c>
      <c r="N133" s="163">
        <f>-N244/N132</f>
        <v>5.9562799919283378E-2</v>
      </c>
      <c r="O133" s="163">
        <f>-O244/O132</f>
        <v>6.3900184296699886E-2</v>
      </c>
      <c r="P133" s="163">
        <f>-P244/P132</f>
        <v>6.9220013809045258E-2</v>
      </c>
      <c r="Q133" s="163">
        <f>-Q244/Q132</f>
        <v>7.2617773444143802E-2</v>
      </c>
      <c r="R133" s="157"/>
      <c r="S133" s="157"/>
      <c r="T133" s="157"/>
      <c r="U133" s="157"/>
      <c r="V133" s="157"/>
      <c r="W133" s="158"/>
      <c r="X133" s="159"/>
      <c r="Y133" s="159"/>
      <c r="Z133" s="157"/>
      <c r="AA133" s="157"/>
      <c r="AB133" s="157"/>
      <c r="AC133" s="157"/>
      <c r="AD133" s="157"/>
      <c r="AE133" s="160"/>
    </row>
    <row r="134" spans="1:32" s="224" customFormat="1" outlineLevel="1" x14ac:dyDescent="0.3">
      <c r="A134" s="104" t="s">
        <v>131</v>
      </c>
      <c r="B134" s="220"/>
      <c r="C134" s="220"/>
      <c r="D134" s="220"/>
      <c r="E134" s="220"/>
      <c r="F134" s="220"/>
      <c r="G134" s="220"/>
      <c r="H134" s="220"/>
      <c r="I134" s="220"/>
      <c r="J134" s="220"/>
      <c r="K134" s="220"/>
      <c r="L134" s="220"/>
      <c r="M134" s="234">
        <f>L135-M133</f>
        <v>8.7781470619487543</v>
      </c>
      <c r="N134" s="234">
        <f>M135-N133</f>
        <v>8.7404372000807165</v>
      </c>
      <c r="O134" s="234">
        <f t="shared" ref="O134:Q134" si="84">N135-O133</f>
        <v>8.7360998157033016</v>
      </c>
      <c r="P134" s="234">
        <f t="shared" si="84"/>
        <v>8.7307799861909547</v>
      </c>
      <c r="Q134" s="234">
        <f t="shared" si="84"/>
        <v>8.5273822265558561</v>
      </c>
      <c r="R134" s="220"/>
      <c r="S134" s="220"/>
      <c r="T134" s="220"/>
      <c r="U134" s="220"/>
      <c r="V134" s="220"/>
      <c r="W134" s="221"/>
      <c r="X134" s="222"/>
      <c r="Y134" s="222"/>
      <c r="Z134" s="220"/>
      <c r="AA134" s="220"/>
      <c r="AB134" s="220"/>
      <c r="AC134" s="220"/>
      <c r="AD134" s="220"/>
      <c r="AE134" s="223"/>
    </row>
    <row r="135" spans="1:32" outlineLevel="1" x14ac:dyDescent="0.3">
      <c r="A135" s="164" t="s">
        <v>132</v>
      </c>
      <c r="B135" s="165">
        <f>CHOOSE(IF($B$1=2,2,1),'GAAP-IFRS'!E24,IF('Broker Actual'!E24="-",'GAAP-IFRS'!E24,'Broker Actual'!E24))</f>
        <v>9.8130000000000006</v>
      </c>
      <c r="C135" s="165">
        <f>CHOOSE(IF($B$1=2,2,1),'GAAP-IFRS'!F24,IF('Broker Actual'!F24="-",'GAAP-IFRS'!F24,'Broker Actual'!F24))</f>
        <v>11.122</v>
      </c>
      <c r="D135" s="165">
        <f>CHOOSE(IF($B$1=2,2,1),'GAAP-IFRS'!G24,IF('Broker Actual'!G24="-",'GAAP-IFRS'!G24,'Broker Actual'!G24))</f>
        <v>11.694000000000001</v>
      </c>
      <c r="E135" s="165">
        <f>CHOOSE(IF($B$1=2,2,1),'GAAP-IFRS'!H24,IF('Broker Actual'!H24="-",'GAAP-IFRS'!H24,'Broker Actual'!H24))</f>
        <v>11.355</v>
      </c>
      <c r="F135" s="165">
        <f>CHOOSE(IF($B$1=2,2,1),'GAAP-IFRS'!I24,IF('Broker Actual'!I24="-",'GAAP-IFRS'!I24,'Broker Actual'!I24))</f>
        <v>10.872999999999999</v>
      </c>
      <c r="G135" s="165">
        <f>CHOOSE(IF($B$1=2,2,1),'GAAP-IFRS'!J24,IF('Broker Actual'!J24="-",'GAAP-IFRS'!J24,'Broker Actual'!J24))</f>
        <v>8.5579999999999998</v>
      </c>
      <c r="H135" s="165">
        <f>CHOOSE(IF($B$1=2,2,1),'GAAP-IFRS'!K24,IF('Broker Actual'!K24="-",'GAAP-IFRS'!K24,'Broker Actual'!K24))</f>
        <v>7.8949999999999996</v>
      </c>
      <c r="I135" s="165">
        <f>CHOOSE(IF($B$1=2,2,1),'GAAP-IFRS'!L24,IF('Broker Actual'!L24="-",'GAAP-IFRS'!L24,'Broker Actual'!L24))</f>
        <v>10.238</v>
      </c>
      <c r="J135" s="165">
        <f>CHOOSE(IF($B$1=2,2,1),'GAAP-IFRS'!M24,IF('Broker Actual'!M24="-",'GAAP-IFRS'!M24,'Broker Actual'!M24))</f>
        <v>9.6940000000000008</v>
      </c>
      <c r="K135" s="165">
        <f>CHOOSE(IF($B$1=2,2,1),'GAAP-IFRS'!N24,IF('Broker Actual'!N24="-",'GAAP-IFRS'!N24,'Broker Actual'!N24))</f>
        <v>8.58</v>
      </c>
      <c r="L135" s="165">
        <f>CHOOSE(IF($B$1=2,2,1),'GAAP-IFRS'!O24,IF('Broker Actual'!O24="-",'GAAP-IFRS'!O24,'Broker Actual'!O24))</f>
        <v>8.8170000000000002</v>
      </c>
      <c r="M135" s="166">
        <v>8.8000000000000007</v>
      </c>
      <c r="N135" s="166">
        <v>8.8000000000000007</v>
      </c>
      <c r="O135" s="166">
        <v>8.8000000000000007</v>
      </c>
      <c r="P135" s="166">
        <v>8.6</v>
      </c>
      <c r="Q135" s="166">
        <v>8.6</v>
      </c>
      <c r="R135" s="167"/>
      <c r="S135" s="167"/>
      <c r="T135" s="167"/>
      <c r="U135" s="167"/>
      <c r="V135" s="167"/>
      <c r="W135" s="168"/>
      <c r="X135" s="169"/>
      <c r="Y135" s="169"/>
      <c r="Z135" s="167"/>
      <c r="AA135" s="167"/>
      <c r="AB135" s="167"/>
      <c r="AC135" s="167"/>
      <c r="AD135" s="167"/>
      <c r="AE135" s="127"/>
      <c r="AF135" s="170"/>
    </row>
    <row r="136" spans="1:32" outlineLevel="1" x14ac:dyDescent="0.3">
      <c r="A136" s="171" t="s">
        <v>87</v>
      </c>
      <c r="B136" s="167"/>
      <c r="C136" s="130">
        <f>C135/B135-1</f>
        <v>0.13339447671456228</v>
      </c>
      <c r="D136" s="130">
        <f t="shared" ref="D136:Q136" si="85">D135/C135-1</f>
        <v>5.1429598992986936E-2</v>
      </c>
      <c r="E136" s="130">
        <f t="shared" si="85"/>
        <v>-2.8989225243714722E-2</v>
      </c>
      <c r="F136" s="130">
        <f t="shared" si="85"/>
        <v>-4.2448260678115468E-2</v>
      </c>
      <c r="G136" s="130">
        <f t="shared" si="85"/>
        <v>-0.21291271958061253</v>
      </c>
      <c r="H136" s="130">
        <f t="shared" si="85"/>
        <v>-7.7471371815844847E-2</v>
      </c>
      <c r="I136" s="130">
        <f t="shared" si="85"/>
        <v>0.29677010766307799</v>
      </c>
      <c r="J136" s="130">
        <f t="shared" si="85"/>
        <v>-5.3135378003516198E-2</v>
      </c>
      <c r="K136" s="130">
        <f t="shared" si="85"/>
        <v>-0.11491644316071803</v>
      </c>
      <c r="L136" s="130">
        <f t="shared" si="85"/>
        <v>2.7622377622377625E-2</v>
      </c>
      <c r="M136" s="130">
        <f t="shared" si="85"/>
        <v>-1.9280934558238982E-3</v>
      </c>
      <c r="N136" s="130">
        <f t="shared" si="85"/>
        <v>0</v>
      </c>
      <c r="O136" s="130">
        <f t="shared" si="85"/>
        <v>0</v>
      </c>
      <c r="P136" s="130">
        <f t="shared" si="85"/>
        <v>-2.2727272727272818E-2</v>
      </c>
      <c r="Q136" s="130">
        <f t="shared" si="85"/>
        <v>0</v>
      </c>
      <c r="R136" s="167"/>
      <c r="S136" s="167"/>
      <c r="T136" s="167"/>
      <c r="U136" s="167"/>
      <c r="V136" s="167"/>
      <c r="W136" s="168"/>
      <c r="X136" s="169"/>
      <c r="Y136" s="169"/>
      <c r="Z136" s="167"/>
      <c r="AA136" s="167"/>
      <c r="AB136" s="167"/>
      <c r="AC136" s="167"/>
      <c r="AD136" s="167"/>
      <c r="AE136" s="127"/>
      <c r="AF136" s="170"/>
    </row>
    <row r="137" spans="1:32" outlineLevel="1" x14ac:dyDescent="0.3">
      <c r="A137" s="172" t="s">
        <v>133</v>
      </c>
      <c r="B137" s="173">
        <f>CHOOSE(IF($B$1=2,2,1),'GAAP-IFRS'!E25,IF('Broker Actual'!E25="-",'GAAP-IFRS'!E25,'Broker Actual'!E25))</f>
        <v>3.02</v>
      </c>
      <c r="C137" s="173">
        <f>CHOOSE(IF($B$1=2,2,1),'GAAP-IFRS'!F25,IF('Broker Actual'!F25="-",'GAAP-IFRS'!F25,'Broker Actual'!F25))</f>
        <v>5.63</v>
      </c>
      <c r="D137" s="173">
        <f>CHOOSE(IF($B$1=2,2,1),'GAAP-IFRS'!G25,IF('Broker Actual'!G25="-",'GAAP-IFRS'!G25,'Broker Actual'!G25))</f>
        <v>5.1086299999999998</v>
      </c>
      <c r="E137" s="173">
        <f>CHOOSE(IF($B$1=2,2,1),'GAAP-IFRS'!H25,IF('Broker Actual'!H25="-",'GAAP-IFRS'!H25,'Broker Actual'!H25))</f>
        <v>5.9337799999999996</v>
      </c>
      <c r="F137" s="173">
        <f>CHOOSE(IF($B$1=2,2,1),'GAAP-IFRS'!I25,IF('Broker Actual'!I25="-",'GAAP-IFRS'!I25,'Broker Actual'!I25))</f>
        <v>2.7578999999999998</v>
      </c>
      <c r="G137" s="173">
        <f>CHOOSE(IF($B$1=2,2,1),'GAAP-IFRS'!J25,IF('Broker Actual'!J25="-",'GAAP-IFRS'!J25,'Broker Actual'!J25))</f>
        <v>-0.95862099999999995</v>
      </c>
      <c r="H137" s="173">
        <f>CHOOSE(IF($B$1=2,2,1),'GAAP-IFRS'!K25,IF('Broker Actual'!K25="-",'GAAP-IFRS'!K25,'Broker Actual'!K25))</f>
        <v>3.23</v>
      </c>
      <c r="I137" s="173">
        <f>CHOOSE(IF($B$1=2,2,1),'GAAP-IFRS'!L25,IF('Broker Actual'!L25="-",'GAAP-IFRS'!L25,'Broker Actual'!L25))</f>
        <v>2.57</v>
      </c>
      <c r="J137" s="173">
        <f>CHOOSE(IF($B$1=2,2,1),'GAAP-IFRS'!M25,IF('Broker Actual'!M25="-",'GAAP-IFRS'!M25,'Broker Actual'!M25))</f>
        <v>3.44</v>
      </c>
      <c r="K137" s="173">
        <f>CHOOSE(IF($B$1=2,2,1),'GAAP-IFRS'!N25,IF('Broker Actual'!N25="-",'GAAP-IFRS'!N25,'Broker Actual'!N25))</f>
        <v>0.1</v>
      </c>
      <c r="L137" s="173">
        <f>CHOOSE(IF($B$1=2,2,1),'GAAP-IFRS'!O25,IF('Broker Actual'!O25="-",'GAAP-IFRS'!O25,'Broker Actual'!O25))</f>
        <v>-5.48</v>
      </c>
      <c r="M137" s="174">
        <f>M128/M135</f>
        <v>3.8504448902677253</v>
      </c>
      <c r="N137" s="174">
        <f>N128/N135</f>
        <v>5.9196033911661061</v>
      </c>
      <c r="O137" s="174">
        <f>O128/O135</f>
        <v>6.2779677891335046</v>
      </c>
      <c r="P137" s="174">
        <f>P128/P135</f>
        <v>7.1363507159535908</v>
      </c>
      <c r="Q137" s="174">
        <f>Q128/Q135</f>
        <v>7.8694005408614487</v>
      </c>
      <c r="R137" s="167"/>
      <c r="S137" s="167"/>
      <c r="T137" s="167"/>
      <c r="U137" s="167"/>
      <c r="V137" s="167"/>
      <c r="W137" s="168"/>
      <c r="X137" s="169"/>
      <c r="Y137" s="169"/>
      <c r="Z137" s="167"/>
      <c r="AA137" s="167"/>
      <c r="AB137" s="167"/>
      <c r="AC137" s="167"/>
      <c r="AD137" s="167"/>
      <c r="AE137" s="127"/>
      <c r="AF137" s="170"/>
    </row>
    <row r="138" spans="1:32" s="118" customFormat="1" outlineLevel="1" x14ac:dyDescent="0.3">
      <c r="A138" s="129" t="s">
        <v>87</v>
      </c>
      <c r="B138" s="149"/>
      <c r="C138" s="130">
        <f>C137/B137-1</f>
        <v>0.86423841059602635</v>
      </c>
      <c r="D138" s="130">
        <f t="shared" ref="D138:L138" si="86">D137/C137-1</f>
        <v>-9.2605683836589736E-2</v>
      </c>
      <c r="E138" s="130">
        <f t="shared" si="86"/>
        <v>0.16152079911835471</v>
      </c>
      <c r="F138" s="130">
        <f t="shared" si="86"/>
        <v>-0.53522038228582791</v>
      </c>
      <c r="G138" s="130">
        <f t="shared" si="86"/>
        <v>-1.3475909206280141</v>
      </c>
      <c r="H138" s="130">
        <f t="shared" si="86"/>
        <v>-4.3694233696111393</v>
      </c>
      <c r="I138" s="130">
        <f t="shared" si="86"/>
        <v>-0.20433436532507743</v>
      </c>
      <c r="J138" s="130">
        <f t="shared" si="86"/>
        <v>0.33852140077821025</v>
      </c>
      <c r="K138" s="130">
        <f t="shared" si="86"/>
        <v>-0.97093023255813948</v>
      </c>
      <c r="L138" s="130">
        <f t="shared" si="86"/>
        <v>-55.800000000000004</v>
      </c>
      <c r="M138" s="130">
        <f>M137/L137-1</f>
        <v>-1.7026359288809716</v>
      </c>
      <c r="N138" s="130">
        <f>N137/M137-1</f>
        <v>0.53738166883736649</v>
      </c>
      <c r="O138" s="130">
        <f t="shared" ref="O138:Q138" si="87">O137/N137-1</f>
        <v>6.0538582449998213E-2</v>
      </c>
      <c r="P138" s="130">
        <f t="shared" si="87"/>
        <v>0.13672942513433339</v>
      </c>
      <c r="Q138" s="130">
        <f t="shared" si="87"/>
        <v>0.10272054360628546</v>
      </c>
      <c r="R138" s="149"/>
      <c r="S138" s="149"/>
      <c r="T138" s="149"/>
      <c r="U138" s="149"/>
      <c r="V138" s="149"/>
      <c r="W138" s="150"/>
      <c r="X138" s="151"/>
      <c r="Y138" s="151"/>
      <c r="Z138" s="149"/>
      <c r="AA138" s="149"/>
      <c r="AB138" s="149"/>
      <c r="AC138" s="149"/>
      <c r="AD138" s="149"/>
      <c r="AE138" s="152"/>
      <c r="AF138" s="153"/>
    </row>
    <row r="139" spans="1:32" s="118" customFormat="1" outlineLevel="1" x14ac:dyDescent="0.3">
      <c r="A139" s="129"/>
      <c r="B139" s="149"/>
      <c r="C139" s="130"/>
      <c r="D139" s="130"/>
      <c r="E139" s="130"/>
      <c r="F139" s="130"/>
      <c r="G139" s="130"/>
      <c r="H139" s="130"/>
      <c r="I139" s="130"/>
      <c r="J139" s="130"/>
      <c r="K139" s="130"/>
      <c r="L139" s="130"/>
      <c r="M139" s="218"/>
      <c r="N139" s="218"/>
      <c r="O139" s="218"/>
      <c r="P139" s="130"/>
      <c r="Q139" s="130"/>
      <c r="R139" s="149"/>
      <c r="S139" s="149"/>
      <c r="T139" s="149"/>
      <c r="U139" s="149"/>
      <c r="V139" s="149"/>
      <c r="W139" s="150"/>
      <c r="X139" s="151"/>
      <c r="Y139" s="151"/>
      <c r="Z139" s="149"/>
      <c r="AA139" s="149"/>
      <c r="AB139" s="149"/>
      <c r="AC139" s="149"/>
      <c r="AD139" s="149"/>
      <c r="AE139" s="152"/>
      <c r="AF139" s="153"/>
    </row>
    <row r="140" spans="1:32" s="118" customFormat="1" outlineLevel="1" x14ac:dyDescent="0.3">
      <c r="A140" s="129"/>
      <c r="B140" s="149"/>
      <c r="C140" s="130"/>
      <c r="D140" s="130"/>
      <c r="E140" s="130"/>
      <c r="F140" s="130"/>
      <c r="G140" s="130"/>
      <c r="H140" s="130"/>
      <c r="I140" s="130"/>
      <c r="J140" s="130"/>
      <c r="K140" s="130"/>
      <c r="L140" s="130"/>
      <c r="M140" s="130"/>
      <c r="N140" s="130"/>
      <c r="O140" s="130"/>
      <c r="P140" s="130"/>
      <c r="Q140" s="130"/>
      <c r="R140" s="149"/>
      <c r="S140" s="149"/>
      <c r="T140" s="149"/>
      <c r="U140" s="149"/>
      <c r="V140" s="149"/>
      <c r="W140" s="150"/>
      <c r="X140" s="151"/>
      <c r="Y140" s="151"/>
      <c r="Z140" s="149"/>
      <c r="AA140" s="149"/>
      <c r="AB140" s="149"/>
      <c r="AC140" s="149"/>
      <c r="AD140" s="149"/>
      <c r="AE140" s="152"/>
      <c r="AF140" s="153"/>
    </row>
    <row r="141" spans="1:32" s="118" customFormat="1" outlineLevel="1" x14ac:dyDescent="0.3">
      <c r="A141" s="129"/>
      <c r="B141" s="149"/>
      <c r="C141" s="130"/>
      <c r="D141" s="130"/>
      <c r="E141" s="130"/>
      <c r="F141" s="130"/>
      <c r="G141" s="130"/>
      <c r="H141" s="130"/>
      <c r="I141" s="130"/>
      <c r="J141" s="130"/>
      <c r="K141" s="130"/>
      <c r="L141" s="130"/>
      <c r="M141" s="130"/>
      <c r="N141" s="130"/>
      <c r="O141" s="130"/>
      <c r="P141" s="130"/>
      <c r="Q141" s="130"/>
      <c r="R141" s="149"/>
      <c r="S141" s="149"/>
      <c r="T141" s="149"/>
      <c r="U141" s="149"/>
      <c r="V141" s="149"/>
      <c r="W141" s="150"/>
      <c r="X141" s="151"/>
      <c r="Y141" s="151"/>
      <c r="Z141" s="149"/>
      <c r="AA141" s="149"/>
      <c r="AB141" s="149"/>
      <c r="AC141" s="149"/>
      <c r="AD141" s="149"/>
      <c r="AE141" s="152"/>
      <c r="AF141" s="153"/>
    </row>
    <row r="142" spans="1:32" s="118" customFormat="1" outlineLevel="1" x14ac:dyDescent="0.3">
      <c r="A142" s="129"/>
      <c r="B142" s="149"/>
      <c r="C142" s="130"/>
      <c r="D142" s="130"/>
      <c r="E142" s="130"/>
      <c r="F142" s="130"/>
      <c r="G142" s="130"/>
      <c r="H142" s="130"/>
      <c r="I142" s="130"/>
      <c r="J142" s="130"/>
      <c r="K142" s="130"/>
      <c r="L142" s="130"/>
      <c r="M142" s="130"/>
      <c r="N142" s="130"/>
      <c r="O142" s="130"/>
      <c r="P142" s="130"/>
      <c r="Q142" s="130"/>
      <c r="R142" s="149"/>
      <c r="S142" s="149"/>
      <c r="T142" s="149"/>
      <c r="U142" s="149"/>
      <c r="V142" s="149"/>
      <c r="W142" s="150"/>
      <c r="X142" s="151"/>
      <c r="Y142" s="151"/>
      <c r="Z142" s="149"/>
      <c r="AA142" s="149"/>
      <c r="AB142" s="149"/>
      <c r="AC142" s="149"/>
      <c r="AD142" s="149"/>
      <c r="AE142" s="152"/>
      <c r="AF142" s="153"/>
    </row>
    <row r="143" spans="1:32" s="118" customFormat="1" outlineLevel="1" x14ac:dyDescent="0.3">
      <c r="A143" s="129"/>
      <c r="B143" s="149"/>
      <c r="C143" s="130"/>
      <c r="D143" s="130"/>
      <c r="E143" s="130"/>
      <c r="F143" s="130"/>
      <c r="G143" s="130"/>
      <c r="H143" s="130"/>
      <c r="I143" s="130"/>
      <c r="J143" s="130"/>
      <c r="K143" s="130"/>
      <c r="L143" s="130"/>
      <c r="M143" s="130"/>
      <c r="N143" s="130"/>
      <c r="O143" s="130"/>
      <c r="P143" s="130"/>
      <c r="Q143" s="130"/>
      <c r="R143" s="149"/>
      <c r="S143" s="149"/>
      <c r="T143" s="149"/>
      <c r="U143" s="149"/>
      <c r="V143" s="149"/>
      <c r="W143" s="150"/>
      <c r="X143" s="151"/>
      <c r="Y143" s="151"/>
      <c r="Z143" s="149"/>
      <c r="AA143" s="149"/>
      <c r="AB143" s="149"/>
      <c r="AC143" s="149"/>
      <c r="AD143" s="149"/>
      <c r="AE143" s="152"/>
      <c r="AF143" s="153"/>
    </row>
    <row r="144" spans="1:32" s="118" customFormat="1" outlineLevel="1" x14ac:dyDescent="0.3">
      <c r="A144" s="129"/>
      <c r="B144" s="149"/>
      <c r="C144" s="130"/>
      <c r="D144" s="130"/>
      <c r="E144" s="130"/>
      <c r="F144" s="130"/>
      <c r="G144" s="130"/>
      <c r="H144" s="130"/>
      <c r="I144" s="130"/>
      <c r="J144" s="130"/>
      <c r="K144" s="130"/>
      <c r="L144" s="130"/>
      <c r="M144" s="130"/>
      <c r="N144" s="130"/>
      <c r="O144" s="130"/>
      <c r="P144" s="130"/>
      <c r="Q144" s="130"/>
      <c r="R144" s="149"/>
      <c r="S144" s="149"/>
      <c r="T144" s="149"/>
      <c r="U144" s="149"/>
      <c r="V144" s="149"/>
      <c r="W144" s="150"/>
      <c r="X144" s="151"/>
      <c r="Y144" s="151"/>
      <c r="Z144" s="149"/>
      <c r="AA144" s="149"/>
      <c r="AB144" s="149"/>
      <c r="AC144" s="149"/>
      <c r="AD144" s="149"/>
      <c r="AE144" s="152"/>
      <c r="AF144" s="153"/>
    </row>
    <row r="145" spans="1:48" s="118" customFormat="1" outlineLevel="1" x14ac:dyDescent="0.3">
      <c r="A145" s="129"/>
      <c r="B145" s="149"/>
      <c r="C145" s="130"/>
      <c r="D145" s="130"/>
      <c r="E145" s="130"/>
      <c r="F145" s="130"/>
      <c r="G145" s="130"/>
      <c r="H145" s="130"/>
      <c r="I145" s="130"/>
      <c r="J145" s="130"/>
      <c r="K145" s="130"/>
      <c r="L145" s="130"/>
      <c r="M145" s="130"/>
      <c r="N145" s="130"/>
      <c r="O145" s="130"/>
      <c r="P145" s="130"/>
      <c r="Q145" s="130"/>
      <c r="R145" s="149"/>
      <c r="S145" s="149"/>
      <c r="T145" s="149"/>
      <c r="U145" s="149"/>
      <c r="V145" s="149"/>
      <c r="W145" s="150"/>
      <c r="X145" s="151"/>
      <c r="Y145" s="151"/>
      <c r="Z145" s="149"/>
      <c r="AA145" s="149"/>
      <c r="AB145" s="149"/>
      <c r="AC145" s="149"/>
      <c r="AD145" s="149"/>
      <c r="AE145" s="152"/>
      <c r="AF145" s="153"/>
    </row>
    <row r="146" spans="1:48" s="118" customFormat="1" outlineLevel="1" x14ac:dyDescent="0.3">
      <c r="A146" s="129"/>
      <c r="B146" s="149"/>
      <c r="C146" s="130"/>
      <c r="D146" s="130"/>
      <c r="E146" s="130"/>
      <c r="F146" s="130"/>
      <c r="G146" s="130"/>
      <c r="H146" s="130"/>
      <c r="I146" s="130"/>
      <c r="J146" s="130"/>
      <c r="K146" s="130"/>
      <c r="L146" s="130"/>
      <c r="M146" s="130"/>
      <c r="N146" s="130"/>
      <c r="O146" s="130"/>
      <c r="P146" s="130"/>
      <c r="Q146" s="130"/>
      <c r="R146" s="149"/>
      <c r="S146" s="149"/>
      <c r="T146" s="149"/>
      <c r="U146" s="149"/>
      <c r="V146" s="149"/>
      <c r="W146" s="150"/>
      <c r="X146" s="151"/>
      <c r="Y146" s="151"/>
      <c r="Z146" s="149"/>
      <c r="AA146" s="149"/>
      <c r="AB146" s="149"/>
      <c r="AC146" s="149"/>
      <c r="AD146" s="149"/>
      <c r="AE146" s="152"/>
      <c r="AF146" s="153"/>
    </row>
    <row r="147" spans="1:48" s="118" customFormat="1" outlineLevel="1" x14ac:dyDescent="0.3">
      <c r="A147" s="129"/>
      <c r="B147" s="149"/>
      <c r="C147" s="130"/>
      <c r="D147" s="130"/>
      <c r="E147" s="130"/>
      <c r="F147" s="130"/>
      <c r="G147" s="130"/>
      <c r="H147" s="130"/>
      <c r="I147" s="130"/>
      <c r="J147" s="130"/>
      <c r="K147" s="130"/>
      <c r="L147" s="130"/>
      <c r="M147" s="130"/>
      <c r="N147" s="130"/>
      <c r="O147" s="130"/>
      <c r="P147" s="130"/>
      <c r="Q147" s="130"/>
      <c r="R147" s="149"/>
      <c r="S147" s="149"/>
      <c r="T147" s="149"/>
      <c r="U147" s="149"/>
      <c r="V147" s="149"/>
      <c r="W147" s="150"/>
      <c r="X147" s="151"/>
      <c r="Y147" s="151"/>
      <c r="Z147" s="149"/>
      <c r="AA147" s="149"/>
      <c r="AB147" s="149"/>
      <c r="AC147" s="149"/>
      <c r="AD147" s="149"/>
      <c r="AE147" s="152"/>
      <c r="AF147" s="153"/>
    </row>
    <row r="148" spans="1:48" s="118" customFormat="1" outlineLevel="1" x14ac:dyDescent="0.3">
      <c r="A148" s="129"/>
      <c r="B148" s="149"/>
      <c r="C148" s="130"/>
      <c r="D148" s="130"/>
      <c r="E148" s="130"/>
      <c r="F148" s="130"/>
      <c r="G148" s="130"/>
      <c r="H148" s="130"/>
      <c r="I148" s="130"/>
      <c r="J148" s="130"/>
      <c r="K148" s="130"/>
      <c r="L148" s="130"/>
      <c r="M148" s="130"/>
      <c r="N148" s="130"/>
      <c r="O148" s="130"/>
      <c r="P148" s="130"/>
      <c r="Q148" s="130"/>
      <c r="R148" s="149"/>
      <c r="S148" s="149"/>
      <c r="T148" s="149"/>
      <c r="U148" s="149"/>
      <c r="V148" s="149"/>
      <c r="W148" s="150"/>
      <c r="X148" s="151"/>
      <c r="Y148" s="151"/>
      <c r="Z148" s="149"/>
      <c r="AA148" s="149"/>
      <c r="AB148" s="149"/>
      <c r="AC148" s="149"/>
      <c r="AD148" s="149"/>
      <c r="AE148" s="152"/>
      <c r="AF148" s="153"/>
    </row>
    <row r="149" spans="1:48" s="118" customFormat="1" outlineLevel="1" x14ac:dyDescent="0.3">
      <c r="A149" s="129"/>
      <c r="B149" s="149"/>
      <c r="C149" s="130"/>
      <c r="D149" s="130"/>
      <c r="E149" s="130"/>
      <c r="F149" s="130"/>
      <c r="G149" s="130"/>
      <c r="H149" s="130"/>
      <c r="I149" s="130"/>
      <c r="J149" s="130"/>
      <c r="K149" s="130"/>
      <c r="L149" s="130"/>
      <c r="M149" s="130"/>
      <c r="N149" s="130"/>
      <c r="O149" s="130"/>
      <c r="P149" s="130"/>
      <c r="Q149" s="130"/>
      <c r="R149" s="149"/>
      <c r="S149" s="149"/>
      <c r="T149" s="149"/>
      <c r="U149" s="149"/>
      <c r="V149" s="149"/>
      <c r="W149" s="150"/>
      <c r="X149" s="151"/>
      <c r="Y149" s="151"/>
      <c r="Z149" s="149"/>
      <c r="AA149" s="149"/>
      <c r="AB149" s="149"/>
      <c r="AC149" s="149"/>
      <c r="AD149" s="149"/>
      <c r="AE149" s="152"/>
      <c r="AF149" s="153"/>
    </row>
    <row r="150" spans="1:48" s="118" customFormat="1" outlineLevel="1" x14ac:dyDescent="0.3">
      <c r="A150" s="129"/>
      <c r="B150" s="149"/>
      <c r="C150" s="130"/>
      <c r="D150" s="130"/>
      <c r="E150" s="130"/>
      <c r="F150" s="130"/>
      <c r="G150" s="130"/>
      <c r="H150" s="130"/>
      <c r="I150" s="130"/>
      <c r="J150" s="130"/>
      <c r="K150" s="130"/>
      <c r="L150" s="130"/>
      <c r="M150" s="130"/>
      <c r="N150" s="130"/>
      <c r="O150" s="130"/>
      <c r="P150" s="130"/>
      <c r="Q150" s="130"/>
      <c r="R150" s="149"/>
      <c r="S150" s="149"/>
      <c r="T150" s="149"/>
      <c r="U150" s="149"/>
      <c r="V150" s="149"/>
      <c r="W150" s="150"/>
      <c r="X150" s="151"/>
      <c r="Y150" s="151"/>
      <c r="Z150" s="149"/>
      <c r="AA150" s="149"/>
      <c r="AB150" s="149"/>
      <c r="AC150" s="149"/>
      <c r="AD150" s="149"/>
      <c r="AE150" s="152"/>
      <c r="AF150" s="153"/>
    </row>
    <row r="151" spans="1:48" outlineLevel="1" x14ac:dyDescent="0.3">
      <c r="B151" s="124"/>
      <c r="C151" s="124"/>
      <c r="D151" s="124"/>
      <c r="E151" s="124"/>
      <c r="F151" s="124"/>
      <c r="G151" s="124"/>
      <c r="H151" s="124"/>
      <c r="I151" s="124"/>
      <c r="J151" s="124"/>
      <c r="K151" s="124"/>
      <c r="L151" s="124"/>
      <c r="M151" s="124"/>
      <c r="N151" s="124"/>
      <c r="O151" s="124"/>
      <c r="P151" s="124"/>
      <c r="Q151" s="124"/>
      <c r="R151" s="124"/>
      <c r="S151" s="124"/>
      <c r="T151" s="124"/>
      <c r="U151" s="124"/>
      <c r="V151" s="124"/>
      <c r="Y151" s="78"/>
      <c r="Z151" s="121"/>
      <c r="AA151" s="121"/>
      <c r="AB151" s="121"/>
      <c r="AC151" s="121"/>
      <c r="AD151" s="121"/>
      <c r="AE151" s="175"/>
    </row>
    <row r="152" spans="1:48" x14ac:dyDescent="0.3">
      <c r="B152" s="124"/>
      <c r="C152" s="124"/>
      <c r="D152" s="124"/>
      <c r="E152" s="124"/>
      <c r="F152" s="124"/>
      <c r="G152" s="124"/>
      <c r="H152" s="124"/>
      <c r="I152" s="124"/>
      <c r="J152" s="124"/>
      <c r="K152" s="124"/>
      <c r="L152" s="124"/>
      <c r="M152" s="124"/>
      <c r="N152" s="124"/>
      <c r="O152" s="124"/>
      <c r="P152" s="124"/>
      <c r="Q152" s="124"/>
      <c r="R152" s="124"/>
      <c r="S152" s="124"/>
      <c r="T152" s="124"/>
      <c r="U152" s="124"/>
      <c r="V152" s="124"/>
      <c r="Y152" s="78"/>
      <c r="Z152" s="121"/>
      <c r="AA152" s="121"/>
      <c r="AB152" s="121"/>
      <c r="AC152" s="121"/>
      <c r="AD152" s="121"/>
      <c r="AE152" s="175"/>
    </row>
    <row r="153" spans="1:48" s="102" customFormat="1" x14ac:dyDescent="0.3">
      <c r="A153" s="176" t="s">
        <v>134</v>
      </c>
      <c r="B153" s="177"/>
      <c r="C153" s="137"/>
      <c r="D153" s="137"/>
      <c r="E153" s="137"/>
      <c r="F153" s="137"/>
      <c r="G153" s="137"/>
      <c r="H153" s="137"/>
      <c r="I153" s="137"/>
      <c r="J153" s="137"/>
      <c r="K153" s="137"/>
      <c r="L153" s="137"/>
      <c r="M153" s="137"/>
      <c r="N153" s="137"/>
      <c r="O153" s="137"/>
      <c r="P153" s="137"/>
      <c r="Q153" s="137"/>
      <c r="R153" s="137"/>
      <c r="S153" s="137"/>
      <c r="T153" s="137"/>
      <c r="U153" s="137"/>
      <c r="V153" s="137"/>
      <c r="W153" s="178"/>
      <c r="X153" s="179"/>
      <c r="Y153" s="179"/>
      <c r="Z153" s="180"/>
      <c r="AA153" s="180"/>
      <c r="AB153" s="180"/>
      <c r="AC153" s="180"/>
      <c r="AD153" s="180"/>
      <c r="AE153" s="181"/>
      <c r="AL153" s="79"/>
      <c r="AM153" s="79"/>
      <c r="AN153" s="79"/>
      <c r="AO153" s="79"/>
      <c r="AP153" s="79"/>
      <c r="AQ153" s="79"/>
      <c r="AR153" s="79"/>
      <c r="AS153" s="79"/>
      <c r="AT153" s="79"/>
      <c r="AU153" s="79"/>
      <c r="AV153" s="79"/>
    </row>
    <row r="154" spans="1:48" outlineLevel="1" x14ac:dyDescent="0.3">
      <c r="A154" s="182" t="s">
        <v>135</v>
      </c>
      <c r="B154" s="140" t="str">
        <f>CHOOSE(IF($B$1=2,2,1),'GAAP-IFRS'!E28,IF('Broker Actual'!E28="-",'GAAP-IFRS'!E28,'Broker Actual'!E28))</f>
        <v/>
      </c>
      <c r="C154" s="140" t="str">
        <f>CHOOSE(IF($B$1=2,2,1),'GAAP-IFRS'!F28,IF('Broker Actual'!F28="-",'GAAP-IFRS'!F28,'Broker Actual'!F28))</f>
        <v/>
      </c>
      <c r="D154" s="140" t="str">
        <f>CHOOSE(IF($B$1=2,2,1),'GAAP-IFRS'!G28,IF('Broker Actual'!G28="-",'GAAP-IFRS'!G28,'Broker Actual'!G28))</f>
        <v/>
      </c>
      <c r="E154" s="140" t="str">
        <f>CHOOSE(IF($B$1=2,2,1),'GAAP-IFRS'!H28,IF('Broker Actual'!H28="-",'GAAP-IFRS'!H28,'Broker Actual'!H28))</f>
        <v/>
      </c>
      <c r="F154" s="140" t="str">
        <f>CHOOSE(IF($B$1=2,2,1),'GAAP-IFRS'!I28,IF('Broker Actual'!I28="-",'GAAP-IFRS'!I28,'Broker Actual'!I28))</f>
        <v/>
      </c>
      <c r="G154" s="140" t="str">
        <f>CHOOSE(IF($B$1=2,2,1),'GAAP-IFRS'!J28,IF('Broker Actual'!J28="-",'GAAP-IFRS'!J28,'Broker Actual'!J28))</f>
        <v/>
      </c>
      <c r="H154" s="140" t="str">
        <f>CHOOSE(IF($B$1=2,2,1),'GAAP-IFRS'!K28,IF('Broker Actual'!K28="-",'GAAP-IFRS'!K28,'Broker Actual'!K28))</f>
        <v/>
      </c>
      <c r="I154" s="140" t="str">
        <f>CHOOSE(IF($B$1=2,2,1),'GAAP-IFRS'!L28,IF('Broker Actual'!L28="-",'GAAP-IFRS'!L28,'Broker Actual'!L28))</f>
        <v/>
      </c>
      <c r="J154" s="140" t="str">
        <f>CHOOSE(IF($B$1=2,2,1),'GAAP-IFRS'!M28,IF('Broker Actual'!M28="-",'GAAP-IFRS'!M28,'Broker Actual'!M28))</f>
        <v/>
      </c>
      <c r="K154" s="140" t="str">
        <f>CHOOSE(IF($B$1=2,2,1),'GAAP-IFRS'!N28,IF('Broker Actual'!N28="-",'GAAP-IFRS'!N28,'Broker Actual'!N28))</f>
        <v/>
      </c>
      <c r="L154" s="140" t="str">
        <f>CHOOSE(IF($B$1=2,2,1),'GAAP-IFRS'!O28,IF('Broker Actual'!O28="-",'GAAP-IFRS'!O28,'Broker Actual'!O28))</f>
        <v/>
      </c>
      <c r="M154" s="124"/>
      <c r="N154" s="124"/>
      <c r="O154" s="124"/>
      <c r="P154" s="124"/>
      <c r="Q154" s="124"/>
      <c r="R154" s="124"/>
      <c r="S154" s="124"/>
      <c r="T154" s="124"/>
      <c r="U154" s="124"/>
      <c r="V154" s="124"/>
      <c r="W154" s="125"/>
      <c r="X154" s="126"/>
      <c r="Y154" s="126"/>
      <c r="Z154" s="124"/>
      <c r="AA154" s="124"/>
      <c r="AB154" s="124"/>
      <c r="AC154" s="124"/>
      <c r="AD154" s="124"/>
      <c r="AE154" s="127"/>
    </row>
    <row r="155" spans="1:48" outlineLevel="1" x14ac:dyDescent="0.3">
      <c r="A155" s="182" t="s">
        <v>136</v>
      </c>
      <c r="B155" s="140"/>
      <c r="C155" s="140"/>
      <c r="D155" s="140"/>
      <c r="E155" s="140"/>
      <c r="F155" s="140"/>
      <c r="G155" s="140"/>
      <c r="H155" s="140"/>
      <c r="I155" s="140"/>
      <c r="J155" s="140"/>
      <c r="K155" s="140"/>
      <c r="L155" s="140"/>
      <c r="M155" s="141">
        <f>M156*M$57</f>
        <v>0</v>
      </c>
      <c r="N155" s="141">
        <f t="shared" ref="N155:Q155" si="88">N156*N$57</f>
        <v>0</v>
      </c>
      <c r="O155" s="141">
        <f t="shared" si="88"/>
        <v>0</v>
      </c>
      <c r="P155" s="141">
        <f t="shared" si="88"/>
        <v>0</v>
      </c>
      <c r="Q155" s="141">
        <f t="shared" si="88"/>
        <v>0</v>
      </c>
      <c r="R155" s="124"/>
      <c r="S155" s="124"/>
      <c r="T155" s="124"/>
      <c r="U155" s="124"/>
      <c r="V155" s="124"/>
      <c r="W155" s="125"/>
      <c r="X155" s="126"/>
      <c r="Y155" s="126"/>
      <c r="Z155" s="124"/>
      <c r="AA155" s="124"/>
      <c r="AB155" s="124"/>
      <c r="AC155" s="124"/>
      <c r="AD155" s="124"/>
      <c r="AE155" s="127"/>
    </row>
    <row r="156" spans="1:48" ht="13.35" customHeight="1" outlineLevel="1" x14ac:dyDescent="0.3">
      <c r="A156" s="183" t="s">
        <v>137</v>
      </c>
      <c r="B156" s="130">
        <f>B155/B57</f>
        <v>0</v>
      </c>
      <c r="C156" s="130">
        <f>C155/C$57</f>
        <v>0</v>
      </c>
      <c r="D156" s="130">
        <f t="shared" ref="D156:L156" si="89">D155/D$57</f>
        <v>0</v>
      </c>
      <c r="E156" s="130">
        <f t="shared" si="89"/>
        <v>0</v>
      </c>
      <c r="F156" s="130">
        <f t="shared" si="89"/>
        <v>0</v>
      </c>
      <c r="G156" s="130">
        <f t="shared" si="89"/>
        <v>0</v>
      </c>
      <c r="H156" s="130">
        <f t="shared" si="89"/>
        <v>0</v>
      </c>
      <c r="I156" s="130">
        <f t="shared" si="89"/>
        <v>0</v>
      </c>
      <c r="J156" s="130">
        <f t="shared" si="89"/>
        <v>0</v>
      </c>
      <c r="K156" s="130">
        <f t="shared" si="89"/>
        <v>0</v>
      </c>
      <c r="L156" s="130">
        <f t="shared" si="89"/>
        <v>0</v>
      </c>
      <c r="M156" s="123">
        <v>0</v>
      </c>
      <c r="N156" s="123">
        <f>M156</f>
        <v>0</v>
      </c>
      <c r="O156" s="123">
        <f t="shared" ref="O156:Q156" si="90">N156</f>
        <v>0</v>
      </c>
      <c r="P156" s="123">
        <f t="shared" si="90"/>
        <v>0</v>
      </c>
      <c r="Q156" s="123">
        <f t="shared" si="90"/>
        <v>0</v>
      </c>
      <c r="R156" s="124"/>
      <c r="S156" s="124"/>
      <c r="T156" s="124"/>
      <c r="U156" s="124"/>
      <c r="V156" s="124"/>
      <c r="W156" s="125"/>
      <c r="X156" s="126"/>
      <c r="Y156" s="126"/>
      <c r="Z156" s="124"/>
      <c r="AA156" s="124"/>
      <c r="AB156" s="124"/>
      <c r="AC156" s="124"/>
      <c r="AD156" s="124"/>
      <c r="AE156" s="127"/>
    </row>
    <row r="157" spans="1:48" outlineLevel="1" x14ac:dyDescent="0.3">
      <c r="A157" s="182" t="s">
        <v>138</v>
      </c>
      <c r="B157" s="140"/>
      <c r="C157" s="140"/>
      <c r="D157" s="140"/>
      <c r="E157" s="140"/>
      <c r="F157" s="140"/>
      <c r="G157" s="140"/>
      <c r="H157" s="140"/>
      <c r="I157" s="140"/>
      <c r="J157" s="140"/>
      <c r="K157" s="140"/>
      <c r="L157" s="140"/>
      <c r="M157" s="141">
        <f>M158*M$57</f>
        <v>0</v>
      </c>
      <c r="N157" s="141">
        <f t="shared" ref="N157:Q157" si="91">N158*N$57</f>
        <v>0</v>
      </c>
      <c r="O157" s="141">
        <f t="shared" si="91"/>
        <v>0</v>
      </c>
      <c r="P157" s="141">
        <f t="shared" si="91"/>
        <v>0</v>
      </c>
      <c r="Q157" s="141">
        <f t="shared" si="91"/>
        <v>0</v>
      </c>
      <c r="R157" s="124"/>
      <c r="S157" s="124"/>
      <c r="T157" s="124"/>
      <c r="U157" s="124"/>
      <c r="V157" s="124"/>
      <c r="W157" s="125"/>
      <c r="X157" s="126" t="s">
        <v>91</v>
      </c>
      <c r="Y157" s="126" t="s">
        <v>139</v>
      </c>
      <c r="Z157" s="124" t="str" cm="1">
        <f t="array" ref="Z157">_xll.FDSC("--",$A$1,""&amp;$X157&amp;"("&amp;$Y157&amp;","&amp;D$2&amp;",ANNUAL_ROLL,+1,0,,,'CURRENCY="&amp;$E$1&amp;"')")</f>
        <v>--</v>
      </c>
      <c r="AA157" s="124" t="str" cm="1">
        <f t="array" ref="AA157">_xll.FDSC("--",$A$1,""&amp;$X157&amp;"("&amp;$Y157&amp;","&amp;D$2&amp;",ANNUAL_ROLL,+2,0,,,'CURRENCY="&amp;$E$1&amp;"')")</f>
        <v>--</v>
      </c>
      <c r="AB157" s="124" t="str" cm="1">
        <f t="array" ref="AB157">_xll.FDSC("--",$A$1,""&amp;$X157&amp;"("&amp;$Y157&amp;","&amp;D$2&amp;",ANNUAL_ROLL,+3,0,,,'CURRENCY="&amp;$E$1&amp;"')")</f>
        <v>--</v>
      </c>
      <c r="AC157" s="124"/>
      <c r="AD157" s="124"/>
      <c r="AE157" s="127"/>
    </row>
    <row r="158" spans="1:48" outlineLevel="1" x14ac:dyDescent="0.3">
      <c r="A158" s="183" t="s">
        <v>137</v>
      </c>
      <c r="B158" s="130">
        <f>B157/B57</f>
        <v>0</v>
      </c>
      <c r="C158" s="130">
        <f t="shared" ref="C158:L158" si="92">C157/C$57</f>
        <v>0</v>
      </c>
      <c r="D158" s="130">
        <f t="shared" si="92"/>
        <v>0</v>
      </c>
      <c r="E158" s="130">
        <f t="shared" si="92"/>
        <v>0</v>
      </c>
      <c r="F158" s="130">
        <f t="shared" si="92"/>
        <v>0</v>
      </c>
      <c r="G158" s="130">
        <f t="shared" si="92"/>
        <v>0</v>
      </c>
      <c r="H158" s="130">
        <f t="shared" si="92"/>
        <v>0</v>
      </c>
      <c r="I158" s="130">
        <f t="shared" si="92"/>
        <v>0</v>
      </c>
      <c r="J158" s="130">
        <f t="shared" si="92"/>
        <v>0</v>
      </c>
      <c r="K158" s="130">
        <f t="shared" si="92"/>
        <v>0</v>
      </c>
      <c r="L158" s="130">
        <f t="shared" si="92"/>
        <v>0</v>
      </c>
      <c r="M158" s="123">
        <v>0</v>
      </c>
      <c r="N158" s="123">
        <f>M158</f>
        <v>0</v>
      </c>
      <c r="O158" s="123">
        <f t="shared" ref="O158:Q158" si="93">N158</f>
        <v>0</v>
      </c>
      <c r="P158" s="123">
        <f t="shared" si="93"/>
        <v>0</v>
      </c>
      <c r="Q158" s="123">
        <f t="shared" si="93"/>
        <v>0</v>
      </c>
      <c r="R158" s="124"/>
      <c r="S158" s="124"/>
      <c r="T158" s="124"/>
      <c r="U158" s="124"/>
      <c r="V158" s="124"/>
      <c r="W158" s="125"/>
      <c r="X158" s="126"/>
      <c r="Y158" s="126"/>
      <c r="Z158" s="124"/>
      <c r="AA158" s="124"/>
      <c r="AB158" s="124"/>
      <c r="AC158" s="124"/>
      <c r="AD158" s="124"/>
      <c r="AE158" s="127"/>
    </row>
    <row r="159" spans="1:48" outlineLevel="1" x14ac:dyDescent="0.3">
      <c r="A159" s="182" t="s">
        <v>140</v>
      </c>
      <c r="B159" s="140">
        <f>CHOOSE(IF($B$1=2,2,1),'GAAP-IFRS'!E32,IF('Broker Actual'!E32="-",'GAAP-IFRS'!E32,'Broker Actual'!E32))</f>
        <v>242.495</v>
      </c>
      <c r="C159" s="140">
        <f>CHOOSE(IF($B$1=2,2,1),'GAAP-IFRS'!F32,IF('Broker Actual'!F32="-",'GAAP-IFRS'!F32,'Broker Actual'!F32))</f>
        <v>320.40100000000001</v>
      </c>
      <c r="D159" s="140">
        <f>CHOOSE(IF($B$1=2,2,1),'GAAP-IFRS'!G32,IF('Broker Actual'!G32="-",'GAAP-IFRS'!G32,'Broker Actual'!G32))</f>
        <v>363.06700000000001</v>
      </c>
      <c r="E159" s="140">
        <f>CHOOSE(IF($B$1=2,2,1),'GAAP-IFRS'!H32,IF('Broker Actual'!H32="-",'GAAP-IFRS'!H32,'Broker Actual'!H32))</f>
        <v>329.92500000000001</v>
      </c>
      <c r="F159" s="140">
        <f>CHOOSE(IF($B$1=2,2,1),'GAAP-IFRS'!I32,IF('Broker Actual'!I32="-",'GAAP-IFRS'!I32,'Broker Actual'!I32))</f>
        <v>311.34399999999999</v>
      </c>
      <c r="G159" s="140">
        <f>CHOOSE(IF($B$1=2,2,1),'GAAP-IFRS'!J32,IF('Broker Actual'!J32="-",'GAAP-IFRS'!J32,'Broker Actual'!J32))</f>
        <v>330.43200000000002</v>
      </c>
      <c r="H159" s="140">
        <f>CHOOSE(IF($B$1=2,2,1),'GAAP-IFRS'!K32,IF('Broker Actual'!K32="-",'GAAP-IFRS'!K32,'Broker Actual'!K32))</f>
        <v>379.77699999999999</v>
      </c>
      <c r="I159" s="140">
        <f>CHOOSE(IF($B$1=2,2,1),'GAAP-IFRS'!L32,IF('Broker Actual'!L32="-",'GAAP-IFRS'!L32,'Broker Actual'!L32))</f>
        <v>326.22899999999998</v>
      </c>
      <c r="J159" s="140">
        <f>CHOOSE(IF($B$1=2,2,1),'GAAP-IFRS'!M32,IF('Broker Actual'!M32="-",'GAAP-IFRS'!M32,'Broker Actual'!M32))</f>
        <v>539.44299999999998</v>
      </c>
      <c r="K159" s="140">
        <f>CHOOSE(IF($B$1=2,2,1),'GAAP-IFRS'!N32,IF('Broker Actual'!N32="-",'GAAP-IFRS'!N32,'Broker Actual'!N32))</f>
        <v>717.827</v>
      </c>
      <c r="L159" s="140">
        <f>CHOOSE(IF($B$1=2,2,1),'GAAP-IFRS'!O32,IF('Broker Actual'!O32="-",'GAAP-IFRS'!O32,'Broker Actual'!O32))</f>
        <v>559.19000000000005</v>
      </c>
      <c r="M159" s="124"/>
      <c r="N159" s="124"/>
      <c r="O159" s="124"/>
      <c r="P159" s="124"/>
      <c r="Q159" s="124"/>
      <c r="R159" s="124"/>
      <c r="S159" s="124"/>
      <c r="T159" s="124"/>
      <c r="U159" s="124"/>
      <c r="V159" s="124"/>
      <c r="W159" s="125"/>
      <c r="X159" s="126" t="s">
        <v>91</v>
      </c>
      <c r="Y159" s="126" t="s">
        <v>141</v>
      </c>
      <c r="Z159" s="124" t="str" cm="1">
        <f t="array" ref="Z159">_xll.FDSC("--",$A$1,""&amp;$X159&amp;"("&amp;$Y159&amp;","&amp;D$2&amp;",ANNUAL_ROLL,+1,0,,,'CURRENCY="&amp;$E$1&amp;"')")</f>
        <v>--</v>
      </c>
      <c r="AA159" s="124" t="str" cm="1">
        <f t="array" ref="AA159">_xll.FDSC("--",$A$1,""&amp;$X159&amp;"("&amp;$Y159&amp;","&amp;D$2&amp;",ANNUAL_ROLL,+2,0,,,'CURRENCY="&amp;$E$1&amp;"')")</f>
        <v>--</v>
      </c>
      <c r="AB159" s="124" t="str" cm="1">
        <f t="array" ref="AB159">_xll.FDSC("--",$A$1,""&amp;$X159&amp;"("&amp;$Y159&amp;","&amp;D$2&amp;",ANNUAL_ROLL,+3,0,,,'CURRENCY="&amp;$E$1&amp;"')")</f>
        <v>--</v>
      </c>
      <c r="AC159" s="124"/>
      <c r="AD159" s="124"/>
      <c r="AE159" s="127"/>
    </row>
    <row r="160" spans="1:48" outlineLevel="1" x14ac:dyDescent="0.3">
      <c r="A160" s="182" t="s">
        <v>142</v>
      </c>
      <c r="B160" s="140">
        <f>CHOOSE(IF($B$1=2,2,1),'GAAP-IFRS'!E33,IF('Broker Actual'!E33="-",'GAAP-IFRS'!E33,'Broker Actual'!E33))</f>
        <v>10.853</v>
      </c>
      <c r="C160" s="140">
        <f>CHOOSE(IF($B$1=2,2,1),'GAAP-IFRS'!F33,IF('Broker Actual'!F33="-",'GAAP-IFRS'!F33,'Broker Actual'!F33))</f>
        <v>13.132</v>
      </c>
      <c r="D160" s="140">
        <f>CHOOSE(IF($B$1=2,2,1),'GAAP-IFRS'!G33,IF('Broker Actual'!G33="-",'GAAP-IFRS'!G33,'Broker Actual'!G33))</f>
        <v>12.292</v>
      </c>
      <c r="E160" s="140">
        <f>CHOOSE(IF($B$1=2,2,1),'GAAP-IFRS'!H33,IF('Broker Actual'!H33="-",'GAAP-IFRS'!H33,'Broker Actual'!H33))</f>
        <v>11.786</v>
      </c>
      <c r="F160" s="140">
        <f>CHOOSE(IF($B$1=2,2,1),'GAAP-IFRS'!I33,IF('Broker Actual'!I33="-",'GAAP-IFRS'!I33,'Broker Actual'!I33))</f>
        <v>11.374000000000001</v>
      </c>
      <c r="G160" s="140">
        <f>CHOOSE(IF($B$1=2,2,1),'GAAP-IFRS'!J33,IF('Broker Actual'!J33="-",'GAAP-IFRS'!J33,'Broker Actual'!J33))</f>
        <v>12.465</v>
      </c>
      <c r="H160" s="140">
        <f>CHOOSE(IF($B$1=2,2,1),'GAAP-IFRS'!K33,IF('Broker Actual'!K33="-",'GAAP-IFRS'!K33,'Broker Actual'!K33))</f>
        <v>13.337999999999999</v>
      </c>
      <c r="I160" s="140">
        <f>CHOOSE(IF($B$1=2,2,1),'GAAP-IFRS'!L33,IF('Broker Actual'!L33="-",'GAAP-IFRS'!L33,'Broker Actual'!L33))</f>
        <v>15.182</v>
      </c>
      <c r="J160" s="140">
        <f>CHOOSE(IF($B$1=2,2,1),'GAAP-IFRS'!M33,IF('Broker Actual'!M33="-",'GAAP-IFRS'!M33,'Broker Actual'!M33))</f>
        <v>16.768999999999998</v>
      </c>
      <c r="K160" s="140">
        <f>CHOOSE(IF($B$1=2,2,1),'GAAP-IFRS'!N33,IF('Broker Actual'!N33="-",'GAAP-IFRS'!N33,'Broker Actual'!N33))</f>
        <v>16.436</v>
      </c>
      <c r="L160" s="140">
        <f>CHOOSE(IF($B$1=2,2,1),'GAAP-IFRS'!O33,IF('Broker Actual'!O33="-",'GAAP-IFRS'!O33,'Broker Actual'!O33))</f>
        <v>18.687000000000001</v>
      </c>
      <c r="M160" s="124"/>
      <c r="N160" s="124"/>
      <c r="O160" s="124"/>
      <c r="P160" s="124"/>
      <c r="Q160" s="124"/>
      <c r="R160" s="124"/>
      <c r="S160" s="124"/>
      <c r="T160" s="124"/>
      <c r="U160" s="124"/>
      <c r="V160" s="124"/>
      <c r="W160" s="125"/>
      <c r="X160" s="126"/>
      <c r="Y160" s="126"/>
      <c r="Z160" s="124"/>
      <c r="AA160" s="124"/>
      <c r="AB160" s="124"/>
      <c r="AC160" s="124"/>
      <c r="AD160" s="124"/>
      <c r="AE160" s="127"/>
    </row>
    <row r="161" spans="1:31" outlineLevel="1" x14ac:dyDescent="0.3">
      <c r="A161" s="182" t="s">
        <v>143</v>
      </c>
      <c r="B161" s="140">
        <f>CHOOSE(IF($B$1=2,2,1),'GAAP-IFRS'!E34,IF('Broker Actual'!E34="-",'GAAP-IFRS'!E34,'Broker Actual'!E34))</f>
        <v>0</v>
      </c>
      <c r="C161" s="140">
        <f>CHOOSE(IF($B$1=2,2,1),'GAAP-IFRS'!F34,IF('Broker Actual'!F34="-",'GAAP-IFRS'!F34,'Broker Actual'!F34))</f>
        <v>0</v>
      </c>
      <c r="D161" s="140">
        <f>CHOOSE(IF($B$1=2,2,1),'GAAP-IFRS'!G34,IF('Broker Actual'!G34="-",'GAAP-IFRS'!G34,'Broker Actual'!G34))</f>
        <v>0</v>
      </c>
      <c r="E161" s="140">
        <f>CHOOSE(IF($B$1=2,2,1),'GAAP-IFRS'!H34,IF('Broker Actual'!H34="-",'GAAP-IFRS'!H34,'Broker Actual'!H34))</f>
        <v>0</v>
      </c>
      <c r="F161" s="140">
        <f>CHOOSE(IF($B$1=2,2,1),'GAAP-IFRS'!I34,IF('Broker Actual'!I34="-",'GAAP-IFRS'!I34,'Broker Actual'!I34))</f>
        <v>4.899</v>
      </c>
      <c r="G161" s="140">
        <f>CHOOSE(IF($B$1=2,2,1),'GAAP-IFRS'!J34,IF('Broker Actual'!J34="-",'GAAP-IFRS'!J34,'Broker Actual'!J34))</f>
        <v>4.9950000000000001</v>
      </c>
      <c r="H161" s="140">
        <f>CHOOSE(IF($B$1=2,2,1),'GAAP-IFRS'!K34,IF('Broker Actual'!K34="-",'GAAP-IFRS'!K34,'Broker Actual'!K34))</f>
        <v>4.8</v>
      </c>
      <c r="I161" s="140">
        <f>CHOOSE(IF($B$1=2,2,1),'GAAP-IFRS'!L34,IF('Broker Actual'!L34="-",'GAAP-IFRS'!L34,'Broker Actual'!L34))</f>
        <v>4.1920000000000002</v>
      </c>
      <c r="J161" s="140">
        <f>CHOOSE(IF($B$1=2,2,1),'GAAP-IFRS'!M34,IF('Broker Actual'!M34="-",'GAAP-IFRS'!M34,'Broker Actual'!M34))</f>
        <v>3.5680000000000001</v>
      </c>
      <c r="K161" s="140">
        <f>CHOOSE(IF($B$1=2,2,1),'GAAP-IFRS'!N34,IF('Broker Actual'!N34="-",'GAAP-IFRS'!N34,'Broker Actual'!N34))</f>
        <v>10.635999999999999</v>
      </c>
      <c r="L161" s="140">
        <f>CHOOSE(IF($B$1=2,2,1),'GAAP-IFRS'!O34,IF('Broker Actual'!O34="-",'GAAP-IFRS'!O34,'Broker Actual'!O34))</f>
        <v>10.577999999999999</v>
      </c>
      <c r="M161" s="124"/>
      <c r="N161" s="124"/>
      <c r="O161" s="124"/>
      <c r="P161" s="124"/>
      <c r="Q161" s="124"/>
      <c r="R161" s="124"/>
      <c r="S161" s="124"/>
      <c r="T161" s="124"/>
      <c r="U161" s="124"/>
      <c r="V161" s="124"/>
      <c r="W161" s="125"/>
      <c r="X161" s="126"/>
      <c r="Y161" s="126"/>
      <c r="Z161" s="124"/>
      <c r="AA161" s="124"/>
      <c r="AB161" s="124"/>
      <c r="AC161" s="124"/>
      <c r="AD161" s="124"/>
      <c r="AE161" s="127"/>
    </row>
    <row r="162" spans="1:31" outlineLevel="1" x14ac:dyDescent="0.3">
      <c r="A162" s="184" t="s">
        <v>144</v>
      </c>
      <c r="B162" s="140">
        <f>CHOOSE(IF($B$1=2,2,1),'GAAP-IFRS'!E35,IF('Broker Actual'!E35="-",'GAAP-IFRS'!E35,'Broker Actual'!E35))</f>
        <v>338.28800000000001</v>
      </c>
      <c r="C162" s="140">
        <f>CHOOSE(IF($B$1=2,2,1),'GAAP-IFRS'!F35,IF('Broker Actual'!F35="-",'GAAP-IFRS'!F35,'Broker Actual'!F35))</f>
        <v>510.30500000000001</v>
      </c>
      <c r="D162" s="140">
        <f>CHOOSE(IF($B$1=2,2,1),'GAAP-IFRS'!G35,IF('Broker Actual'!G35="-",'GAAP-IFRS'!G35,'Broker Actual'!G35))</f>
        <v>578.31700000000001</v>
      </c>
      <c r="E162" s="140">
        <f>CHOOSE(IF($B$1=2,2,1),'GAAP-IFRS'!H35,IF('Broker Actual'!H35="-",'GAAP-IFRS'!H35,'Broker Actual'!H35))</f>
        <v>609.78499999999997</v>
      </c>
      <c r="F162" s="140">
        <f>CHOOSE(IF($B$1=2,2,1),'GAAP-IFRS'!I35,IF('Broker Actual'!I35="-",'GAAP-IFRS'!I35,'Broker Actual'!I35))</f>
        <v>660.79899999999998</v>
      </c>
      <c r="G162" s="140">
        <f>CHOOSE(IF($B$1=2,2,1),'GAAP-IFRS'!J35,IF('Broker Actual'!J35="-",'GAAP-IFRS'!J35,'Broker Actual'!J35))</f>
        <v>729.56100000000004</v>
      </c>
      <c r="H162" s="140">
        <f>CHOOSE(IF($B$1=2,2,1),'GAAP-IFRS'!K35,IF('Broker Actual'!K35="-",'GAAP-IFRS'!K35,'Broker Actual'!K35))</f>
        <v>702.27</v>
      </c>
      <c r="I162" s="140">
        <f>CHOOSE(IF($B$1=2,2,1),'GAAP-IFRS'!L35,IF('Broker Actual'!L35="-",'GAAP-IFRS'!L35,'Broker Actual'!L35))</f>
        <v>662.29100000000005</v>
      </c>
      <c r="J162" s="140">
        <f>CHOOSE(IF($B$1=2,2,1),'GAAP-IFRS'!M35,IF('Broker Actual'!M35="-",'GAAP-IFRS'!M35,'Broker Actual'!M35))</f>
        <v>834.19299999999998</v>
      </c>
      <c r="K162" s="140">
        <f>CHOOSE(IF($B$1=2,2,1),'GAAP-IFRS'!N35,IF('Broker Actual'!N35="-",'GAAP-IFRS'!N35,'Broker Actual'!N35))</f>
        <v>1093.76</v>
      </c>
      <c r="L162" s="140">
        <f>CHOOSE(IF($B$1=2,2,1),'GAAP-IFRS'!O35,IF('Broker Actual'!O35="-",'GAAP-IFRS'!O35,'Broker Actual'!O35))</f>
        <v>1803.328</v>
      </c>
      <c r="M162" s="124"/>
      <c r="N162" s="124"/>
      <c r="O162" s="124"/>
      <c r="P162" s="124"/>
      <c r="Q162" s="124"/>
      <c r="R162" s="124"/>
      <c r="S162" s="124"/>
      <c r="T162" s="124"/>
      <c r="U162" s="124"/>
      <c r="V162" s="124"/>
      <c r="W162" s="158"/>
      <c r="X162" s="159"/>
      <c r="Y162" s="159"/>
      <c r="Z162" s="157" cm="1">
        <f t="array" ref="Z162">_xll.FDSC("--",$A$1,"FE_ESTIMATE(ASSETS,"&amp;D2&amp;",ANNUAL,1,NOW,,,'CURRENCY="&amp;$E$1&amp;"')")</f>
        <v>1730.8405</v>
      </c>
      <c r="AA162" s="157" t="e" cm="1">
        <f t="array" ref="AA162">_xll.FDSC("--",$A$1,"FE_ESTIMATE(ASSETS,"&amp;#REF!&amp;",ANNUAL,1,NOW,,,'CURRENCY="&amp;$E$1&amp;"')")</f>
        <v>#VALUE!</v>
      </c>
      <c r="AB162" s="157" cm="1">
        <f t="array" ref="AB162">_xll.FDSC("--",$A$1,"FE_ESTIMATE(ASSETS,"&amp;D2&amp;",ANNUAL,1,NOW,,,'CURRENCY="&amp;$E$1&amp;"')")</f>
        <v>1730.8405</v>
      </c>
      <c r="AC162" s="157"/>
      <c r="AD162" s="157"/>
      <c r="AE162" s="160"/>
    </row>
    <row r="163" spans="1:31" outlineLevel="1" x14ac:dyDescent="0.3">
      <c r="B163" s="140"/>
      <c r="C163" s="140"/>
      <c r="D163" s="140"/>
      <c r="E163" s="140"/>
      <c r="F163" s="140"/>
      <c r="G163" s="140"/>
      <c r="H163" s="140"/>
      <c r="I163" s="140"/>
      <c r="J163" s="140"/>
      <c r="K163" s="140"/>
      <c r="L163" s="140"/>
      <c r="M163" s="124"/>
      <c r="N163" s="124"/>
      <c r="O163" s="124"/>
      <c r="P163" s="124"/>
      <c r="Q163" s="124"/>
      <c r="R163" s="124"/>
      <c r="S163" s="124"/>
      <c r="T163" s="124"/>
      <c r="U163" s="124"/>
      <c r="V163" s="124"/>
      <c r="W163" s="185"/>
      <c r="X163" s="186"/>
      <c r="Y163" s="186"/>
      <c r="Z163" s="121"/>
      <c r="AA163" s="121"/>
      <c r="AB163" s="121"/>
      <c r="AC163" s="121"/>
      <c r="AD163" s="121"/>
      <c r="AE163" s="187"/>
    </row>
    <row r="164" spans="1:31" outlineLevel="1" x14ac:dyDescent="0.3">
      <c r="A164" s="182" t="s">
        <v>145</v>
      </c>
      <c r="B164" s="140">
        <f>CHOOSE(IF($B$1=2,2,1),'GAAP-IFRS'!E37,IF('Broker Actual'!E37="-",'GAAP-IFRS'!E37,'Broker Actual'!E37))</f>
        <v>1.377</v>
      </c>
      <c r="C164" s="140">
        <f>CHOOSE(IF($B$1=2,2,1),'GAAP-IFRS'!F37,IF('Broker Actual'!F37="-",'GAAP-IFRS'!F37,'Broker Actual'!F37))</f>
        <v>4.66</v>
      </c>
      <c r="D164" s="140">
        <f>CHOOSE(IF($B$1=2,2,1),'GAAP-IFRS'!G37,IF('Broker Actual'!G37="-",'GAAP-IFRS'!G37,'Broker Actual'!G37))</f>
        <v>0.218</v>
      </c>
      <c r="E164" s="140">
        <f>CHOOSE(IF($B$1=2,2,1),'GAAP-IFRS'!H37,IF('Broker Actual'!H37="-",'GAAP-IFRS'!H37,'Broker Actual'!H37))</f>
        <v>1.0840000000000001</v>
      </c>
      <c r="F164" s="140">
        <f>CHOOSE(IF($B$1=2,2,1),'GAAP-IFRS'!I37,IF('Broker Actual'!I37="-",'GAAP-IFRS'!I37,'Broker Actual'!I37))</f>
        <v>3.294</v>
      </c>
      <c r="G164" s="140">
        <f>CHOOSE(IF($B$1=2,2,1),'GAAP-IFRS'!J37,IF('Broker Actual'!J37="-",'GAAP-IFRS'!J37,'Broker Actual'!J37))</f>
        <v>1.4999999999999999E-2</v>
      </c>
      <c r="H164" s="140">
        <f>CHOOSE(IF($B$1=2,2,1),'GAAP-IFRS'!K37,IF('Broker Actual'!K37="-",'GAAP-IFRS'!K37,'Broker Actual'!K37))</f>
        <v>1.4E-2</v>
      </c>
      <c r="I164" s="140">
        <f>CHOOSE(IF($B$1=2,2,1),'GAAP-IFRS'!L37,IF('Broker Actual'!L37="-",'GAAP-IFRS'!L37,'Broker Actual'!L37))</f>
        <v>7.5999999999999998E-2</v>
      </c>
      <c r="J164" s="140">
        <f>CHOOSE(IF($B$1=2,2,1),'GAAP-IFRS'!M37,IF('Broker Actual'!M37="-",'GAAP-IFRS'!M37,'Broker Actual'!M37))</f>
        <v>8.6999999999999994E-2</v>
      </c>
      <c r="K164" s="140">
        <f>CHOOSE(IF($B$1=2,2,1),'GAAP-IFRS'!N37,IF('Broker Actual'!N37="-",'GAAP-IFRS'!N37,'Broker Actual'!N37))</f>
        <v>23.335000000000001</v>
      </c>
      <c r="L164" s="140">
        <f>CHOOSE(IF($B$1=2,2,1),'GAAP-IFRS'!O37,IF('Broker Actual'!O37="-",'GAAP-IFRS'!O37,'Broker Actual'!O37))</f>
        <v>26.251999999999999</v>
      </c>
      <c r="M164" s="141">
        <f>M165*M$57</f>
        <v>27.719877320000009</v>
      </c>
      <c r="N164" s="141">
        <f t="shared" ref="N164:Q164" si="94">N165*N$57</f>
        <v>28.686712809920007</v>
      </c>
      <c r="O164" s="141">
        <f t="shared" si="94"/>
        <v>22.478042332812002</v>
      </c>
      <c r="P164" s="141">
        <f t="shared" si="94"/>
        <v>24.304360793189403</v>
      </c>
      <c r="Q164" s="141">
        <f t="shared" si="94"/>
        <v>26.678565800014596</v>
      </c>
      <c r="R164" s="124"/>
      <c r="S164" s="124"/>
      <c r="T164" s="124"/>
      <c r="U164" s="124"/>
      <c r="V164" s="124"/>
      <c r="W164" s="125"/>
      <c r="X164" s="126"/>
      <c r="Y164" s="126"/>
      <c r="Z164" s="124"/>
      <c r="AA164" s="124"/>
      <c r="AB164" s="124"/>
      <c r="AC164" s="124"/>
      <c r="AD164" s="124"/>
      <c r="AE164" s="127"/>
    </row>
    <row r="165" spans="1:31" outlineLevel="1" x14ac:dyDescent="0.3">
      <c r="A165" s="183" t="s">
        <v>137</v>
      </c>
      <c r="B165" s="130">
        <f>B164/B57</f>
        <v>5.8945151472344576E-3</v>
      </c>
      <c r="C165" s="130">
        <f t="shared" ref="C165:L165" si="95">C164/C$57</f>
        <v>1.9329041677727636E-2</v>
      </c>
      <c r="D165" s="130">
        <f t="shared" si="95"/>
        <v>8.1921625806063699E-4</v>
      </c>
      <c r="E165" s="130">
        <f t="shared" si="95"/>
        <v>3.7908460161145928E-3</v>
      </c>
      <c r="F165" s="130">
        <f t="shared" si="95"/>
        <v>1.2456229249071643E-2</v>
      </c>
      <c r="G165" s="130">
        <f t="shared" si="95"/>
        <v>6.1373288708133189E-5</v>
      </c>
      <c r="H165" s="130">
        <f t="shared" si="95"/>
        <v>6.0529547066046383E-5</v>
      </c>
      <c r="I165" s="130">
        <f t="shared" si="95"/>
        <v>3.1343566732928069E-4</v>
      </c>
      <c r="J165" s="130">
        <f t="shared" si="95"/>
        <v>2.8025009905391428E-4</v>
      </c>
      <c r="K165" s="130">
        <f t="shared" si="95"/>
        <v>5.7205545272912245E-2</v>
      </c>
      <c r="L165" s="130">
        <f t="shared" si="95"/>
        <v>5.2549928637629285E-2</v>
      </c>
      <c r="M165" s="188">
        <v>0.05</v>
      </c>
      <c r="N165" s="188">
        <v>0.04</v>
      </c>
      <c r="O165" s="189">
        <v>0.03</v>
      </c>
      <c r="P165" s="189">
        <f t="shared" ref="P165:Q165" si="96">O165</f>
        <v>0.03</v>
      </c>
      <c r="Q165" s="189">
        <f t="shared" si="96"/>
        <v>0.03</v>
      </c>
      <c r="R165" s="124"/>
      <c r="S165" s="124"/>
      <c r="T165" s="124"/>
      <c r="U165" s="124"/>
      <c r="V165" s="124"/>
      <c r="W165" s="125"/>
      <c r="X165" s="126"/>
      <c r="Y165" s="126"/>
      <c r="Z165" s="124"/>
      <c r="AA165" s="124"/>
      <c r="AB165" s="124"/>
      <c r="AC165" s="124"/>
      <c r="AD165" s="124"/>
      <c r="AE165" s="127"/>
    </row>
    <row r="166" spans="1:31" outlineLevel="1" x14ac:dyDescent="0.3">
      <c r="A166" s="182" t="s">
        <v>146</v>
      </c>
      <c r="B166" s="140">
        <f>CHOOSE(IF($B$1=2,2,1),'GAAP-IFRS'!E38,IF('Broker Actual'!E38="-",'GAAP-IFRS'!E38,'Broker Actual'!E38))</f>
        <v>54.441000000000003</v>
      </c>
      <c r="C166" s="140">
        <f>CHOOSE(IF($B$1=2,2,1),'GAAP-IFRS'!F38,IF('Broker Actual'!F38="-",'GAAP-IFRS'!F38,'Broker Actual'!F38))</f>
        <v>52.94</v>
      </c>
      <c r="D166" s="140">
        <f>CHOOSE(IF($B$1=2,2,1),'GAAP-IFRS'!G38,IF('Broker Actual'!G38="-",'GAAP-IFRS'!G38,'Broker Actual'!G38))</f>
        <v>53.951999999999998</v>
      </c>
      <c r="E166" s="140">
        <f>CHOOSE(IF($B$1=2,2,1),'GAAP-IFRS'!H38,IF('Broker Actual'!H38="-",'GAAP-IFRS'!H38,'Broker Actual'!H38))</f>
        <v>59.09</v>
      </c>
      <c r="F166" s="140">
        <f>CHOOSE(IF($B$1=2,2,1),'GAAP-IFRS'!I38,IF('Broker Actual'!I38="-",'GAAP-IFRS'!I38,'Broker Actual'!I38))</f>
        <v>81.081999999999994</v>
      </c>
      <c r="G166" s="140">
        <f>CHOOSE(IF($B$1=2,2,1),'GAAP-IFRS'!J38,IF('Broker Actual'!J38="-",'GAAP-IFRS'!J38,'Broker Actual'!J38))</f>
        <v>116.458</v>
      </c>
      <c r="H166" s="140">
        <f>CHOOSE(IF($B$1=2,2,1),'GAAP-IFRS'!K38,IF('Broker Actual'!K38="-",'GAAP-IFRS'!K38,'Broker Actual'!K38))</f>
        <v>181.488</v>
      </c>
      <c r="I166" s="140">
        <f>CHOOSE(IF($B$1=2,2,1),'GAAP-IFRS'!L38,IF('Broker Actual'!L38="-",'GAAP-IFRS'!L38,'Broker Actual'!L38))</f>
        <v>102.494</v>
      </c>
      <c r="J166" s="140">
        <f>CHOOSE(IF($B$1=2,2,1),'GAAP-IFRS'!M38,IF('Broker Actual'!M38="-",'GAAP-IFRS'!M38,'Broker Actual'!M38))</f>
        <v>139.98500000000001</v>
      </c>
      <c r="K166" s="140">
        <f>CHOOSE(IF($B$1=2,2,1),'GAAP-IFRS'!N38,IF('Broker Actual'!N38="-",'GAAP-IFRS'!N38,'Broker Actual'!N38))</f>
        <v>201.75299999999999</v>
      </c>
      <c r="L166" s="140">
        <f>CHOOSE(IF($B$1=2,2,1),'GAAP-IFRS'!O38,IF('Broker Actual'!O38="-",'GAAP-IFRS'!O38,'Broker Actual'!O38))</f>
        <v>237.21899999999999</v>
      </c>
      <c r="M166" s="140"/>
      <c r="N166" s="124"/>
      <c r="O166" s="124"/>
      <c r="P166" s="124"/>
      <c r="Q166" s="124"/>
      <c r="R166" s="124"/>
      <c r="S166" s="124"/>
      <c r="T166" s="124"/>
      <c r="U166" s="124"/>
      <c r="V166" s="124"/>
      <c r="W166" s="125"/>
      <c r="X166" s="126" t="s">
        <v>91</v>
      </c>
      <c r="Y166" s="126" t="s">
        <v>147</v>
      </c>
      <c r="Z166" s="124" t="str" cm="1">
        <f t="array" ref="Z166">_xll.FDSC("--",$A$1,""&amp;$X166&amp;"("&amp;$Y166&amp;","&amp;D$2&amp;",ANNUAL_ROLL,+1,0,,,'CURRENCY="&amp;$E$1&amp;"')")</f>
        <v>--</v>
      </c>
      <c r="AA166" s="124" t="str" cm="1">
        <f t="array" ref="AA166">_xll.FDSC("--",$A$1,""&amp;$X166&amp;"("&amp;$Y166&amp;","&amp;D$2&amp;",ANNUAL_ROLL,+2,0,,,'CURRENCY="&amp;$E$1&amp;"')")</f>
        <v>--</v>
      </c>
      <c r="AB166" s="124" t="str" cm="1">
        <f t="array" ref="AB166">_xll.FDSC("--",$A$1,""&amp;$X166&amp;"("&amp;$Y166&amp;","&amp;D$2&amp;",ANNUAL_ROLL,+3,0,,,'CURRENCY="&amp;$E$1&amp;"')")</f>
        <v>--</v>
      </c>
      <c r="AC166" s="124"/>
      <c r="AD166" s="124"/>
      <c r="AE166" s="127"/>
    </row>
    <row r="167" spans="1:31" outlineLevel="1" x14ac:dyDescent="0.3">
      <c r="A167" s="182" t="s">
        <v>148</v>
      </c>
      <c r="B167" s="140">
        <f>CHOOSE(IF($B$1=2,2,1),'GAAP-IFRS'!E39,IF('Broker Actual'!E39="-",'GAAP-IFRS'!E39,'Broker Actual'!E39))</f>
        <v>0</v>
      </c>
      <c r="C167" s="140">
        <f>CHOOSE(IF($B$1=2,2,1),'GAAP-IFRS'!F39,IF('Broker Actual'!F39="-",'GAAP-IFRS'!F39,'Broker Actual'!F39))</f>
        <v>0</v>
      </c>
      <c r="D167" s="140">
        <f>CHOOSE(IF($B$1=2,2,1),'GAAP-IFRS'!G39,IF('Broker Actual'!G39="-",'GAAP-IFRS'!G39,'Broker Actual'!G39))</f>
        <v>0</v>
      </c>
      <c r="E167" s="140">
        <f>CHOOSE(IF($B$1=2,2,1),'GAAP-IFRS'!H39,IF('Broker Actual'!H39="-",'GAAP-IFRS'!H39,'Broker Actual'!H39))</f>
        <v>0</v>
      </c>
      <c r="F167" s="140">
        <f>CHOOSE(IF($B$1=2,2,1),'GAAP-IFRS'!I39,IF('Broker Actual'!I39="-",'GAAP-IFRS'!I39,'Broker Actual'!I39))</f>
        <v>0.78300000000000003</v>
      </c>
      <c r="G167" s="140">
        <f>CHOOSE(IF($B$1=2,2,1),'GAAP-IFRS'!J39,IF('Broker Actual'!J39="-",'GAAP-IFRS'!J39,'Broker Actual'!J39))</f>
        <v>1.0489999999999999</v>
      </c>
      <c r="H167" s="140">
        <f>CHOOSE(IF($B$1=2,2,1),'GAAP-IFRS'!K39,IF('Broker Actual'!K39="-",'GAAP-IFRS'!K39,'Broker Actual'!K39))</f>
        <v>91.316000000000003</v>
      </c>
      <c r="I167" s="140">
        <f>CHOOSE(IF($B$1=2,2,1),'GAAP-IFRS'!L39,IF('Broker Actual'!L39="-",'GAAP-IFRS'!L39,'Broker Actual'!L39))</f>
        <v>10.34</v>
      </c>
      <c r="J167" s="140">
        <f>CHOOSE(IF($B$1=2,2,1),'GAAP-IFRS'!M39,IF('Broker Actual'!M39="-",'GAAP-IFRS'!M39,'Broker Actual'!M39))</f>
        <v>2.694</v>
      </c>
      <c r="K167" s="140">
        <f>CHOOSE(IF($B$1=2,2,1),'GAAP-IFRS'!N39,IF('Broker Actual'!N39="-",'GAAP-IFRS'!N39,'Broker Actual'!N39))</f>
        <v>2.4500000000000002</v>
      </c>
      <c r="L167" s="140">
        <f>CHOOSE(IF($B$1=2,2,1),'GAAP-IFRS'!O39,IF('Broker Actual'!O39="-",'GAAP-IFRS'!O39,'Broker Actual'!O39))</f>
        <v>1.1639999999999999</v>
      </c>
      <c r="M167" s="141">
        <f>L167</f>
        <v>1.1639999999999999</v>
      </c>
      <c r="N167" s="141">
        <f>M167</f>
        <v>1.1639999999999999</v>
      </c>
      <c r="O167" s="141">
        <f t="shared" ref="O167:Q167" si="97">N167</f>
        <v>1.1639999999999999</v>
      </c>
      <c r="P167" s="141">
        <f t="shared" si="97"/>
        <v>1.1639999999999999</v>
      </c>
      <c r="Q167" s="141">
        <f t="shared" si="97"/>
        <v>1.1639999999999999</v>
      </c>
      <c r="R167" s="124"/>
      <c r="S167" s="124"/>
      <c r="T167" s="124"/>
      <c r="U167" s="124"/>
      <c r="V167" s="124"/>
      <c r="W167" s="125"/>
      <c r="X167" s="126"/>
      <c r="Y167" s="126"/>
      <c r="Z167" s="124"/>
      <c r="AA167" s="124"/>
      <c r="AB167" s="124"/>
      <c r="AC167" s="124"/>
      <c r="AD167" s="124"/>
      <c r="AE167" s="127"/>
    </row>
    <row r="168" spans="1:31" outlineLevel="1" x14ac:dyDescent="0.3">
      <c r="A168" s="182" t="s">
        <v>149</v>
      </c>
      <c r="B168" s="140">
        <f>CHOOSE(IF($B$1=2,2,1),'GAAP-IFRS'!E40,IF('Broker Actual'!E40="-",'GAAP-IFRS'!E40,'Broker Actual'!E40))</f>
        <v>0</v>
      </c>
      <c r="C168" s="140">
        <f>CHOOSE(IF($B$1=2,2,1),'GAAP-IFRS'!F40,IF('Broker Actual'!F40="-",'GAAP-IFRS'!F40,'Broker Actual'!F40))</f>
        <v>126.932</v>
      </c>
      <c r="D168" s="140">
        <f>CHOOSE(IF($B$1=2,2,1),'GAAP-IFRS'!G40,IF('Broker Actual'!G40="-",'GAAP-IFRS'!G40,'Broker Actual'!G40))</f>
        <v>125.886</v>
      </c>
      <c r="E168" s="140">
        <f>CHOOSE(IF($B$1=2,2,1),'GAAP-IFRS'!H40,IF('Broker Actual'!H40="-",'GAAP-IFRS'!H40,'Broker Actual'!H40))</f>
        <v>129.429</v>
      </c>
      <c r="F168" s="140">
        <f>CHOOSE(IF($B$1=2,2,1),'GAAP-IFRS'!I40,IF('Broker Actual'!I40="-",'GAAP-IFRS'!I40,'Broker Actual'!I40))</f>
        <v>138.08000000000001</v>
      </c>
      <c r="G168" s="140">
        <f>CHOOSE(IF($B$1=2,2,1),'GAAP-IFRS'!J40,IF('Broker Actual'!J40="-",'GAAP-IFRS'!J40,'Broker Actual'!J40))</f>
        <v>236.786</v>
      </c>
      <c r="H168" s="140">
        <f>CHOOSE(IF($B$1=2,2,1),'GAAP-IFRS'!K40,IF('Broker Actual'!K40="-",'GAAP-IFRS'!K40,'Broker Actual'!K40))</f>
        <v>158.834</v>
      </c>
      <c r="I168" s="140">
        <f>CHOOSE(IF($B$1=2,2,1),'GAAP-IFRS'!L40,IF('Broker Actual'!L40="-",'GAAP-IFRS'!L40,'Broker Actual'!L40))</f>
        <v>163.10499999999999</v>
      </c>
      <c r="J168" s="140">
        <f>CHOOSE(IF($B$1=2,2,1),'GAAP-IFRS'!M40,IF('Broker Actual'!M40="-",'GAAP-IFRS'!M40,'Broker Actual'!M40))</f>
        <v>181.58099999999999</v>
      </c>
      <c r="K168" s="140">
        <f>CHOOSE(IF($B$1=2,2,1),'GAAP-IFRS'!N40,IF('Broker Actual'!N40="-",'GAAP-IFRS'!N40,'Broker Actual'!N40))</f>
        <v>60.256999999999998</v>
      </c>
      <c r="L168" s="140">
        <f>CHOOSE(IF($B$1=2,2,1),'GAAP-IFRS'!O40,IF('Broker Actual'!O40="-",'GAAP-IFRS'!O40,'Broker Actual'!O40))</f>
        <v>211.244</v>
      </c>
      <c r="M168" s="141">
        <f>L168+M243</f>
        <v>190.24000601049988</v>
      </c>
      <c r="N168" s="141">
        <f>M168+N243</f>
        <v>139.46731206640638</v>
      </c>
      <c r="O168" s="141">
        <f>N168+O243</f>
        <v>81.699797048656151</v>
      </c>
      <c r="P168" s="141">
        <f>O168+P243</f>
        <v>15.012727209548956</v>
      </c>
      <c r="Q168" s="141">
        <f>P168+Q243</f>
        <v>-62.134149448813474</v>
      </c>
      <c r="R168" s="124"/>
      <c r="S168" s="124"/>
      <c r="T168" s="124"/>
      <c r="U168" s="124"/>
      <c r="V168" s="124"/>
      <c r="W168" s="125"/>
      <c r="X168" s="126"/>
      <c r="Y168" s="126"/>
      <c r="Z168" s="124"/>
      <c r="AA168" s="124"/>
      <c r="AB168" s="124"/>
      <c r="AC168" s="124"/>
      <c r="AD168" s="124"/>
      <c r="AE168" s="127"/>
    </row>
    <row r="169" spans="1:31" outlineLevel="1" x14ac:dyDescent="0.3">
      <c r="A169" s="79" t="s">
        <v>150</v>
      </c>
      <c r="B169" s="140">
        <f>CHOOSE(IF($B$1=2,2,1),'GAAP-IFRS'!E41,IF('Broker Actual'!E41="-",'GAAP-IFRS'!E41,'Broker Actual'!E41))</f>
        <v>0</v>
      </c>
      <c r="C169" s="140">
        <f>CHOOSE(IF($B$1=2,2,1),'GAAP-IFRS'!F41,IF('Broker Actual'!F41="-",'GAAP-IFRS'!F41,'Broker Actual'!F41))</f>
        <v>126.932</v>
      </c>
      <c r="D169" s="140">
        <f>CHOOSE(IF($B$1=2,2,1),'GAAP-IFRS'!G41,IF('Broker Actual'!G41="-",'GAAP-IFRS'!G41,'Broker Actual'!G41))</f>
        <v>125.886</v>
      </c>
      <c r="E169" s="140">
        <f>CHOOSE(IF($B$1=2,2,1),'GAAP-IFRS'!H41,IF('Broker Actual'!H41="-",'GAAP-IFRS'!H41,'Broker Actual'!H41))</f>
        <v>129.429</v>
      </c>
      <c r="F169" s="140">
        <f>CHOOSE(IF($B$1=2,2,1),'GAAP-IFRS'!I41,IF('Broker Actual'!I41="-",'GAAP-IFRS'!I41,'Broker Actual'!I41))</f>
        <v>138.863</v>
      </c>
      <c r="G169" s="140">
        <f>CHOOSE(IF($B$1=2,2,1),'GAAP-IFRS'!J41,IF('Broker Actual'!J41="-",'GAAP-IFRS'!J41,'Broker Actual'!J41))</f>
        <v>237.83500000000001</v>
      </c>
      <c r="H169" s="140">
        <f>CHOOSE(IF($B$1=2,2,1),'GAAP-IFRS'!K41,IF('Broker Actual'!K41="-",'GAAP-IFRS'!K41,'Broker Actual'!K41))</f>
        <v>250.15</v>
      </c>
      <c r="I169" s="140">
        <f>CHOOSE(IF($B$1=2,2,1),'GAAP-IFRS'!L41,IF('Broker Actual'!L41="-",'GAAP-IFRS'!L41,'Broker Actual'!L41))</f>
        <v>173.44499999999999</v>
      </c>
      <c r="J169" s="140">
        <f>CHOOSE(IF($B$1=2,2,1),'GAAP-IFRS'!M41,IF('Broker Actual'!M41="-",'GAAP-IFRS'!M41,'Broker Actual'!M41))</f>
        <v>184.27500000000001</v>
      </c>
      <c r="K169" s="140">
        <f>CHOOSE(IF($B$1=2,2,1),'GAAP-IFRS'!N41,IF('Broker Actual'!N41="-",'GAAP-IFRS'!N41,'Broker Actual'!N41))</f>
        <v>62.707000000000001</v>
      </c>
      <c r="L169" s="140">
        <f>CHOOSE(IF($B$1=2,2,1),'GAAP-IFRS'!O41,IF('Broker Actual'!O41="-",'GAAP-IFRS'!O41,'Broker Actual'!O41))</f>
        <v>212.40799999999999</v>
      </c>
      <c r="M169" s="141">
        <f>SUM(M167:M168)</f>
        <v>191.40400601049987</v>
      </c>
      <c r="N169" s="141">
        <f t="shared" ref="N169:Q169" si="98">SUM(N167:N168)</f>
        <v>140.63131206640637</v>
      </c>
      <c r="O169" s="141">
        <f>SUM(O167:O168)</f>
        <v>82.863797048656153</v>
      </c>
      <c r="P169" s="141">
        <f t="shared" si="98"/>
        <v>16.176727209548957</v>
      </c>
      <c r="Q169" s="141">
        <f t="shared" si="98"/>
        <v>-60.970149448813473</v>
      </c>
      <c r="R169" s="124"/>
      <c r="S169" s="124"/>
      <c r="T169" s="124"/>
      <c r="U169" s="124"/>
      <c r="V169" s="124"/>
      <c r="W169" s="125"/>
      <c r="X169" s="126" t="s">
        <v>91</v>
      </c>
      <c r="Y169" s="126" t="s">
        <v>151</v>
      </c>
      <c r="Z169" s="124" t="str" cm="1">
        <f t="array" ref="Z169">_xll.FDSC("--",$A$1,""&amp;$X169&amp;"("&amp;$Y169&amp;","&amp;D$2&amp;",ANNUAL_ROLL,+1,0,,,'CURRENCY="&amp;$E$1&amp;"')")</f>
        <v>--</v>
      </c>
      <c r="AA169" s="124" t="str" cm="1">
        <f t="array" ref="AA169">_xll.FDSC("--",$A$1,""&amp;$X169&amp;"("&amp;$Y169&amp;","&amp;D$2&amp;",ANNUAL_ROLL,+2,0,,,'CURRENCY="&amp;$E$1&amp;"')")</f>
        <v>--</v>
      </c>
      <c r="AB169" s="124" t="str" cm="1">
        <f t="array" ref="AB169">_xll.FDSC("--",$A$1,""&amp;$X169&amp;"("&amp;$Y169&amp;","&amp;D$2&amp;",ANNUAL_ROLL,+3,0,,,'CURRENCY="&amp;$E$1&amp;"')")</f>
        <v>--</v>
      </c>
      <c r="AC169" s="124"/>
      <c r="AD169" s="124"/>
      <c r="AE169" s="127"/>
    </row>
    <row r="170" spans="1:31" outlineLevel="1" x14ac:dyDescent="0.3">
      <c r="A170" s="184" t="s">
        <v>152</v>
      </c>
      <c r="B170" s="140">
        <f>CHOOSE(IF($B$1=2,2,1),'GAAP-IFRS'!E42,IF('Broker Actual'!E42="-",'GAAP-IFRS'!E42,'Broker Actual'!E42))</f>
        <v>214.952</v>
      </c>
      <c r="C170" s="140">
        <f>CHOOSE(IF($B$1=2,2,1),'GAAP-IFRS'!F42,IF('Broker Actual'!F42="-",'GAAP-IFRS'!F42,'Broker Actual'!F42))</f>
        <v>349.78399999999999</v>
      </c>
      <c r="D170" s="140">
        <f>CHOOSE(IF($B$1=2,2,1),'GAAP-IFRS'!G42,IF('Broker Actual'!G42="-",'GAAP-IFRS'!G42,'Broker Actual'!G42))</f>
        <v>395.73200000000003</v>
      </c>
      <c r="E170" s="140">
        <f>CHOOSE(IF($B$1=2,2,1),'GAAP-IFRS'!H42,IF('Broker Actual'!H42="-",'GAAP-IFRS'!H42,'Broker Actual'!H42))</f>
        <v>372.06299999999999</v>
      </c>
      <c r="F170" s="140">
        <f>CHOOSE(IF($B$1=2,2,1),'GAAP-IFRS'!I42,IF('Broker Actual'!I42="-",'GAAP-IFRS'!I42,'Broker Actual'!I42))</f>
        <v>417.053</v>
      </c>
      <c r="G170" s="140">
        <f>CHOOSE(IF($B$1=2,2,1),'GAAP-IFRS'!J42,IF('Broker Actual'!J42="-",'GAAP-IFRS'!J42,'Broker Actual'!J42))</f>
        <v>535.58600000000001</v>
      </c>
      <c r="H170" s="140">
        <f>CHOOSE(IF($B$1=2,2,1),'GAAP-IFRS'!K42,IF('Broker Actual'!K42="-",'GAAP-IFRS'!K42,'Broker Actual'!K42))</f>
        <v>520.82899999999995</v>
      </c>
      <c r="I170" s="140">
        <f>CHOOSE(IF($B$1=2,2,1),'GAAP-IFRS'!L42,IF('Broker Actual'!L42="-",'GAAP-IFRS'!L42,'Broker Actual'!L42))</f>
        <v>476.74799999999999</v>
      </c>
      <c r="J170" s="140">
        <f>CHOOSE(IF($B$1=2,2,1),'GAAP-IFRS'!M42,IF('Broker Actual'!M42="-",'GAAP-IFRS'!M42,'Broker Actual'!M42))</f>
        <v>633.05700000000002</v>
      </c>
      <c r="K170" s="140">
        <f>CHOOSE(IF($B$1=2,2,1),'GAAP-IFRS'!N42,IF('Broker Actual'!N42="-",'GAAP-IFRS'!N42,'Broker Actual'!N42))</f>
        <v>679.30200000000002</v>
      </c>
      <c r="L170" s="140">
        <f>CHOOSE(IF($B$1=2,2,1),'GAAP-IFRS'!O42,IF('Broker Actual'!O42="-",'GAAP-IFRS'!O42,'Broker Actual'!O42))</f>
        <v>823.85799999999995</v>
      </c>
      <c r="M170" s="124"/>
      <c r="N170" s="124"/>
      <c r="O170" s="124"/>
      <c r="P170" s="124"/>
      <c r="Q170" s="124"/>
      <c r="R170" s="124"/>
      <c r="S170" s="124"/>
      <c r="T170" s="124"/>
      <c r="U170" s="124"/>
      <c r="V170" s="124"/>
      <c r="W170" s="158"/>
      <c r="X170" s="159"/>
      <c r="Y170" s="159"/>
      <c r="Z170" s="157"/>
      <c r="AA170" s="157"/>
      <c r="AB170" s="157"/>
      <c r="AC170" s="157"/>
      <c r="AD170" s="157"/>
      <c r="AE170" s="160"/>
    </row>
    <row r="171" spans="1:31" outlineLevel="1" x14ac:dyDescent="0.3">
      <c r="A171" s="182"/>
      <c r="B171" s="124"/>
      <c r="C171" s="124"/>
      <c r="D171" s="124"/>
      <c r="E171" s="124"/>
      <c r="F171" s="124"/>
      <c r="G171" s="124"/>
      <c r="H171" s="124"/>
      <c r="I171" s="124"/>
      <c r="J171" s="124"/>
      <c r="K171" s="124"/>
      <c r="L171" s="124"/>
      <c r="M171" s="124"/>
      <c r="N171" s="124"/>
      <c r="O171" s="124"/>
      <c r="P171" s="124"/>
      <c r="Q171" s="124"/>
      <c r="R171" s="124"/>
      <c r="S171" s="124"/>
      <c r="T171" s="124"/>
      <c r="U171" s="124"/>
      <c r="V171" s="124"/>
      <c r="W171" s="190"/>
      <c r="X171" s="126"/>
      <c r="Y171" s="126"/>
      <c r="Z171" s="124"/>
      <c r="AA171" s="124"/>
      <c r="AB171" s="124"/>
      <c r="AC171" s="124"/>
      <c r="AD171" s="124"/>
      <c r="AE171" s="127"/>
    </row>
    <row r="172" spans="1:31" outlineLevel="1" x14ac:dyDescent="0.3">
      <c r="A172" s="182" t="s">
        <v>153</v>
      </c>
      <c r="B172" s="140">
        <f>CHOOSE(IF($B$1=2,2,1),'GAAP-IFRS'!E44,IF('Broker Actual'!E44="-",'GAAP-IFRS'!E44,'Broker Actual'!E44))</f>
        <v>0</v>
      </c>
      <c r="C172" s="140">
        <f>CHOOSE(IF($B$1=2,2,1),'GAAP-IFRS'!F44,IF('Broker Actual'!F44="-",'GAAP-IFRS'!F44,'Broker Actual'!F44))</f>
        <v>0</v>
      </c>
      <c r="D172" s="140">
        <f>CHOOSE(IF($B$1=2,2,1),'GAAP-IFRS'!G44,IF('Broker Actual'!G44="-",'GAAP-IFRS'!G44,'Broker Actual'!G44))</f>
        <v>0</v>
      </c>
      <c r="E172" s="140">
        <f>CHOOSE(IF($B$1=2,2,1),'GAAP-IFRS'!H44,IF('Broker Actual'!H44="-",'GAAP-IFRS'!H44,'Broker Actual'!H44))</f>
        <v>0</v>
      </c>
      <c r="F172" s="140">
        <f>CHOOSE(IF($B$1=2,2,1),'GAAP-IFRS'!I44,IF('Broker Actual'!I44="-",'GAAP-IFRS'!I44,'Broker Actual'!I44))</f>
        <v>0</v>
      </c>
      <c r="G172" s="140">
        <f>CHOOSE(IF($B$1=2,2,1),'GAAP-IFRS'!J44,IF('Broker Actual'!J44="-",'GAAP-IFRS'!J44,'Broker Actual'!J44))</f>
        <v>0</v>
      </c>
      <c r="H172" s="140">
        <f>CHOOSE(IF($B$1=2,2,1),'GAAP-IFRS'!K44,IF('Broker Actual'!K44="-",'GAAP-IFRS'!K44,'Broker Actual'!K44))</f>
        <v>0</v>
      </c>
      <c r="I172" s="140">
        <f>CHOOSE(IF($B$1=2,2,1),'GAAP-IFRS'!L44,IF('Broker Actual'!L44="-",'GAAP-IFRS'!L44,'Broker Actual'!L44))</f>
        <v>0</v>
      </c>
      <c r="J172" s="140">
        <f>CHOOSE(IF($B$1=2,2,1),'GAAP-IFRS'!M44,IF('Broker Actual'!M44="-",'GAAP-IFRS'!M44,'Broker Actual'!M44))</f>
        <v>0</v>
      </c>
      <c r="K172" s="140">
        <f>CHOOSE(IF($B$1=2,2,1),'GAAP-IFRS'!N44,IF('Broker Actual'!N44="-",'GAAP-IFRS'!N44,'Broker Actual'!N44))</f>
        <v>0</v>
      </c>
      <c r="L172" s="140">
        <f>CHOOSE(IF($B$1=2,2,1),'GAAP-IFRS'!O44,IF('Broker Actual'!O44="-",'GAAP-IFRS'!O44,'Broker Actual'!O44))</f>
        <v>0</v>
      </c>
      <c r="M172" s="124"/>
      <c r="N172" s="124"/>
      <c r="O172" s="124"/>
      <c r="P172" s="124"/>
      <c r="Q172" s="124"/>
      <c r="R172" s="124"/>
      <c r="S172" s="124"/>
      <c r="T172" s="124"/>
      <c r="U172" s="124"/>
      <c r="V172" s="124"/>
      <c r="W172" s="125"/>
      <c r="X172" s="126"/>
      <c r="Y172" s="126"/>
      <c r="Z172" s="124"/>
      <c r="AA172" s="124"/>
      <c r="AB172" s="124"/>
      <c r="AC172" s="124"/>
      <c r="AD172" s="124"/>
      <c r="AE172" s="127"/>
    </row>
    <row r="173" spans="1:31" outlineLevel="1" x14ac:dyDescent="0.3">
      <c r="A173" s="182" t="s">
        <v>154</v>
      </c>
      <c r="B173" s="140">
        <f>CHOOSE(IF($B$1=2,2,1),'GAAP-IFRS'!E45,IF('Broker Actual'!E45="-",'GAAP-IFRS'!E45,'Broker Actual'!E45))</f>
        <v>120.755</v>
      </c>
      <c r="C173" s="140">
        <f>CHOOSE(IF($B$1=2,2,1),'GAAP-IFRS'!F45,IF('Broker Actual'!F45="-",'GAAP-IFRS'!F45,'Broker Actual'!F45))</f>
        <v>160.5</v>
      </c>
      <c r="D173" s="140">
        <f>CHOOSE(IF($B$1=2,2,1),'GAAP-IFRS'!G45,IF('Broker Actual'!G45="-",'GAAP-IFRS'!G45,'Broker Actual'!G45))</f>
        <v>182.58500000000001</v>
      </c>
      <c r="E173" s="140">
        <f>CHOOSE(IF($B$1=2,2,1),'GAAP-IFRS'!H45,IF('Broker Actual'!H45="-",'GAAP-IFRS'!H45,'Broker Actual'!H45))</f>
        <v>237.72200000000001</v>
      </c>
      <c r="F173" s="140">
        <f>CHOOSE(IF($B$1=2,2,1),'GAAP-IFRS'!I45,IF('Broker Actual'!I45="-",'GAAP-IFRS'!I45,'Broker Actual'!I45))</f>
        <v>243.74600000000001</v>
      </c>
      <c r="G173" s="140">
        <f>CHOOSE(IF($B$1=2,2,1),'GAAP-IFRS'!J45,IF('Broker Actual'!J45="-",'GAAP-IFRS'!J45,'Broker Actual'!J45))</f>
        <v>193.97499999999999</v>
      </c>
      <c r="H173" s="140">
        <f>CHOOSE(IF($B$1=2,2,1),'GAAP-IFRS'!K45,IF('Broker Actual'!K45="-",'GAAP-IFRS'!K45,'Broker Actual'!K45))</f>
        <v>181.441</v>
      </c>
      <c r="I173" s="140">
        <f>CHOOSE(IF($B$1=2,2,1),'GAAP-IFRS'!L45,IF('Broker Actual'!L45="-",'GAAP-IFRS'!L45,'Broker Actual'!L45))</f>
        <v>185.54300000000001</v>
      </c>
      <c r="J173" s="140">
        <f>CHOOSE(IF($B$1=2,2,1),'GAAP-IFRS'!M45,IF('Broker Actual'!M45="-",'GAAP-IFRS'!M45,'Broker Actual'!M45))</f>
        <v>201.136</v>
      </c>
      <c r="K173" s="140">
        <f>CHOOSE(IF($B$1=2,2,1),'GAAP-IFRS'!N45,IF('Broker Actual'!N45="-",'GAAP-IFRS'!N45,'Broker Actual'!N45))</f>
        <v>323.36500000000001</v>
      </c>
      <c r="L173" s="140">
        <f>CHOOSE(IF($B$1=2,2,1),'GAAP-IFRS'!O45,IF('Broker Actual'!O45="-",'GAAP-IFRS'!O45,'Broker Actual'!O45))</f>
        <v>162.596</v>
      </c>
      <c r="M173" s="124"/>
      <c r="N173" s="124"/>
      <c r="O173" s="124"/>
      <c r="P173" s="124"/>
      <c r="Q173" s="124"/>
      <c r="R173" s="124"/>
      <c r="S173" s="124"/>
      <c r="T173" s="124"/>
      <c r="U173" s="124"/>
      <c r="V173" s="124"/>
      <c r="W173" s="125"/>
      <c r="X173" s="126" t="s">
        <v>91</v>
      </c>
      <c r="Y173" s="126" t="s">
        <v>155</v>
      </c>
      <c r="Z173" s="124" cm="1">
        <f t="array" ref="Z173">_xll.FDSC("--",$A$1,""&amp;$X173&amp;"("&amp;$Y173&amp;","&amp;D$2&amp;",ANNUAL_ROLL,+1,0,,,'CURRENCY="&amp;$E$1&amp;"')")</f>
        <v>187.8595</v>
      </c>
      <c r="AA173" s="124" cm="1">
        <f t="array" ref="AA173">_xll.FDSC("--",$A$1,""&amp;$X173&amp;"("&amp;$Y173&amp;","&amp;D$2&amp;",ANNUAL_ROLL,+2,0,,,'CURRENCY="&amp;$E$1&amp;"')")</f>
        <v>206.17099999999999</v>
      </c>
      <c r="AB173" s="124" t="str" cm="1">
        <f t="array" ref="AB173">_xll.FDSC("--",$A$1,""&amp;$X173&amp;"("&amp;$Y173&amp;","&amp;D$2&amp;",ANNUAL_ROLL,+3,0,,,'CURRENCY="&amp;$E$1&amp;"')")</f>
        <v>--</v>
      </c>
      <c r="AC173" s="124"/>
      <c r="AD173" s="124"/>
      <c r="AE173" s="127"/>
    </row>
    <row r="174" spans="1:31" outlineLevel="1" x14ac:dyDescent="0.3">
      <c r="A174" s="184" t="s">
        <v>156</v>
      </c>
      <c r="B174" s="140">
        <f>CHOOSE(IF($B$1=2,2,1),'GAAP-IFRS'!E46,IF('Broker Actual'!E46="-",'GAAP-IFRS'!E46,'Broker Actual'!E46))</f>
        <v>336.20499999999998</v>
      </c>
      <c r="C174" s="140">
        <f>CHOOSE(IF($B$1=2,2,1),'GAAP-IFRS'!F46,IF('Broker Actual'!F46="-",'GAAP-IFRS'!F46,'Broker Actual'!F46))</f>
        <v>510.30500000000001</v>
      </c>
      <c r="D174" s="140">
        <f>CHOOSE(IF($B$1=2,2,1),'GAAP-IFRS'!G46,IF('Broker Actual'!G46="-",'GAAP-IFRS'!G46,'Broker Actual'!G46))</f>
        <v>578.31700000000001</v>
      </c>
      <c r="E174" s="140">
        <f>CHOOSE(IF($B$1=2,2,1),'GAAP-IFRS'!H46,IF('Broker Actual'!H46="-",'GAAP-IFRS'!H46,'Broker Actual'!H46))</f>
        <v>609.78499999999997</v>
      </c>
      <c r="F174" s="140">
        <f>CHOOSE(IF($B$1=2,2,1),'GAAP-IFRS'!I46,IF('Broker Actual'!I46="-",'GAAP-IFRS'!I46,'Broker Actual'!I46))</f>
        <v>660.79899999999998</v>
      </c>
      <c r="G174" s="140">
        <f>CHOOSE(IF($B$1=2,2,1),'GAAP-IFRS'!J46,IF('Broker Actual'!J46="-",'GAAP-IFRS'!J46,'Broker Actual'!J46))</f>
        <v>729.56100000000004</v>
      </c>
      <c r="H174" s="140">
        <f>CHOOSE(IF($B$1=2,2,1),'GAAP-IFRS'!K46,IF('Broker Actual'!K46="-",'GAAP-IFRS'!K46,'Broker Actual'!K46))</f>
        <v>702.27</v>
      </c>
      <c r="I174" s="140">
        <f>CHOOSE(IF($B$1=2,2,1),'GAAP-IFRS'!L46,IF('Broker Actual'!L46="-",'GAAP-IFRS'!L46,'Broker Actual'!L46))</f>
        <v>662.29100000000005</v>
      </c>
      <c r="J174" s="140">
        <f>CHOOSE(IF($B$1=2,2,1),'GAAP-IFRS'!M46,IF('Broker Actual'!M46="-",'GAAP-IFRS'!M46,'Broker Actual'!M46))</f>
        <v>834.19299999999998</v>
      </c>
      <c r="K174" s="140">
        <f>CHOOSE(IF($B$1=2,2,1),'GAAP-IFRS'!N46,IF('Broker Actual'!N46="-",'GAAP-IFRS'!N46,'Broker Actual'!N46))</f>
        <v>1093.76</v>
      </c>
      <c r="L174" s="140">
        <f>CHOOSE(IF($B$1=2,2,1),'GAAP-IFRS'!O46,IF('Broker Actual'!O46="-",'GAAP-IFRS'!O46,'Broker Actual'!O46))</f>
        <v>1078.665</v>
      </c>
      <c r="M174" s="124"/>
      <c r="N174" s="124"/>
      <c r="O174" s="124"/>
      <c r="P174" s="124"/>
      <c r="Q174" s="124"/>
      <c r="R174" s="124"/>
      <c r="S174" s="124"/>
      <c r="T174" s="124"/>
      <c r="U174" s="124"/>
      <c r="V174" s="124"/>
      <c r="W174" s="158"/>
      <c r="X174" s="159"/>
      <c r="Y174" s="159"/>
      <c r="Z174" s="157"/>
      <c r="AA174" s="157"/>
      <c r="AB174" s="157"/>
      <c r="AC174" s="157"/>
      <c r="AD174" s="157"/>
      <c r="AE174" s="160"/>
    </row>
    <row r="175" spans="1:31" outlineLevel="1" x14ac:dyDescent="0.3">
      <c r="B175" s="140"/>
      <c r="C175" s="140"/>
      <c r="D175" s="140"/>
      <c r="E175" s="140"/>
      <c r="F175" s="140"/>
      <c r="G175" s="140"/>
      <c r="H175" s="140"/>
      <c r="I175" s="140"/>
      <c r="J175" s="140"/>
      <c r="K175" s="140"/>
      <c r="L175" s="140"/>
      <c r="M175" s="124"/>
      <c r="N175" s="124"/>
      <c r="O175" s="124"/>
      <c r="P175" s="124"/>
      <c r="Q175" s="124"/>
      <c r="R175" s="124"/>
      <c r="S175" s="124"/>
      <c r="T175" s="124"/>
      <c r="U175" s="124"/>
      <c r="V175" s="124"/>
      <c r="W175" s="185"/>
      <c r="X175" s="186"/>
      <c r="Y175" s="186"/>
      <c r="Z175" s="121"/>
      <c r="AA175" s="121"/>
      <c r="AB175" s="121"/>
      <c r="AC175" s="121"/>
      <c r="AD175" s="121"/>
      <c r="AE175" s="187"/>
    </row>
    <row r="176" spans="1:31" outlineLevel="1" x14ac:dyDescent="0.3">
      <c r="B176" s="140"/>
      <c r="C176" s="140"/>
      <c r="D176" s="140"/>
      <c r="E176" s="140"/>
      <c r="F176" s="140"/>
      <c r="G176" s="140"/>
      <c r="H176" s="140"/>
      <c r="I176" s="140"/>
      <c r="J176" s="140"/>
      <c r="K176" s="140"/>
      <c r="L176" s="140"/>
      <c r="M176" s="124"/>
      <c r="N176" s="124"/>
      <c r="O176" s="124"/>
      <c r="P176" s="124"/>
      <c r="Q176" s="124"/>
      <c r="R176" s="124"/>
      <c r="S176" s="124"/>
      <c r="T176" s="124"/>
      <c r="U176" s="124"/>
      <c r="V176" s="124"/>
      <c r="W176" s="185"/>
      <c r="X176" s="186"/>
      <c r="Y176" s="186"/>
      <c r="Z176" s="121"/>
      <c r="AA176" s="121"/>
      <c r="AB176" s="121"/>
      <c r="AC176" s="121"/>
      <c r="AD176" s="121"/>
      <c r="AE176" s="187"/>
    </row>
    <row r="177" spans="2:31" outlineLevel="1" x14ac:dyDescent="0.3">
      <c r="B177" s="140"/>
      <c r="C177" s="140"/>
      <c r="D177" s="140"/>
      <c r="E177" s="140"/>
      <c r="F177" s="140"/>
      <c r="G177" s="140"/>
      <c r="H177" s="140"/>
      <c r="I177" s="140"/>
      <c r="J177" s="140"/>
      <c r="K177" s="140"/>
      <c r="L177" s="140"/>
      <c r="M177" s="124"/>
      <c r="N177" s="124"/>
      <c r="O177" s="124"/>
      <c r="P177" s="124"/>
      <c r="Q177" s="124"/>
      <c r="R177" s="124"/>
      <c r="S177" s="124"/>
      <c r="T177" s="124"/>
      <c r="U177" s="124"/>
      <c r="V177" s="124"/>
      <c r="W177" s="185"/>
      <c r="X177" s="186"/>
      <c r="Y177" s="186"/>
      <c r="Z177" s="121"/>
      <c r="AA177" s="121"/>
      <c r="AB177" s="121"/>
      <c r="AC177" s="121"/>
      <c r="AD177" s="121"/>
      <c r="AE177" s="187"/>
    </row>
    <row r="178" spans="2:31" outlineLevel="1" x14ac:dyDescent="0.3">
      <c r="B178" s="140"/>
      <c r="C178" s="140"/>
      <c r="D178" s="140"/>
      <c r="E178" s="140"/>
      <c r="F178" s="140"/>
      <c r="G178" s="140"/>
      <c r="H178" s="140"/>
      <c r="I178" s="140"/>
      <c r="J178" s="140"/>
      <c r="K178" s="140"/>
      <c r="L178" s="140"/>
      <c r="M178" s="124"/>
      <c r="N178" s="124"/>
      <c r="O178" s="124"/>
      <c r="P178" s="124"/>
      <c r="Q178" s="124"/>
      <c r="R178" s="124"/>
      <c r="S178" s="124"/>
      <c r="T178" s="124"/>
      <c r="U178" s="124"/>
      <c r="V178" s="124"/>
      <c r="W178" s="185"/>
      <c r="X178" s="186"/>
      <c r="Y178" s="186"/>
      <c r="Z178" s="121"/>
      <c r="AA178" s="121"/>
      <c r="AB178" s="121"/>
      <c r="AC178" s="121"/>
      <c r="AD178" s="121"/>
      <c r="AE178" s="187"/>
    </row>
    <row r="179" spans="2:31" outlineLevel="1" x14ac:dyDescent="0.3">
      <c r="B179" s="140"/>
      <c r="C179" s="140"/>
      <c r="D179" s="140"/>
      <c r="E179" s="140"/>
      <c r="F179" s="140"/>
      <c r="G179" s="140"/>
      <c r="H179" s="140"/>
      <c r="I179" s="140"/>
      <c r="J179" s="140"/>
      <c r="K179" s="140"/>
      <c r="L179" s="140"/>
      <c r="M179" s="124"/>
      <c r="N179" s="124"/>
      <c r="O179" s="124"/>
      <c r="P179" s="124"/>
      <c r="Q179" s="124"/>
      <c r="R179" s="124"/>
      <c r="S179" s="124"/>
      <c r="T179" s="124"/>
      <c r="U179" s="124"/>
      <c r="V179" s="124"/>
      <c r="W179" s="185"/>
      <c r="X179" s="186"/>
      <c r="Y179" s="186"/>
      <c r="Z179" s="121"/>
      <c r="AA179" s="121"/>
      <c r="AB179" s="121"/>
      <c r="AC179" s="121"/>
      <c r="AD179" s="121"/>
      <c r="AE179" s="187"/>
    </row>
    <row r="180" spans="2:31" outlineLevel="1" x14ac:dyDescent="0.3">
      <c r="B180" s="140"/>
      <c r="C180" s="140"/>
      <c r="D180" s="140"/>
      <c r="E180" s="140"/>
      <c r="F180" s="140"/>
      <c r="G180" s="140"/>
      <c r="H180" s="140"/>
      <c r="I180" s="140"/>
      <c r="J180" s="140"/>
      <c r="K180" s="140"/>
      <c r="L180" s="140"/>
      <c r="M180" s="124"/>
      <c r="N180" s="124"/>
      <c r="O180" s="124"/>
      <c r="P180" s="124"/>
      <c r="Q180" s="124"/>
      <c r="R180" s="124"/>
      <c r="S180" s="124"/>
      <c r="T180" s="124"/>
      <c r="U180" s="124"/>
      <c r="V180" s="124"/>
      <c r="W180" s="185"/>
      <c r="X180" s="186"/>
      <c r="Y180" s="186"/>
      <c r="Z180" s="121"/>
      <c r="AA180" s="121"/>
      <c r="AB180" s="121"/>
      <c r="AC180" s="121"/>
      <c r="AD180" s="121"/>
      <c r="AE180" s="187"/>
    </row>
    <row r="181" spans="2:31" outlineLevel="1" x14ac:dyDescent="0.3">
      <c r="B181" s="140"/>
      <c r="C181" s="140"/>
      <c r="D181" s="140"/>
      <c r="E181" s="140"/>
      <c r="F181" s="140"/>
      <c r="G181" s="140"/>
      <c r="H181" s="140"/>
      <c r="I181" s="140"/>
      <c r="J181" s="140"/>
      <c r="K181" s="140"/>
      <c r="L181" s="140"/>
      <c r="M181" s="124"/>
      <c r="N181" s="124"/>
      <c r="O181" s="124"/>
      <c r="P181" s="124"/>
      <c r="Q181" s="124"/>
      <c r="R181" s="124"/>
      <c r="S181" s="124"/>
      <c r="T181" s="124"/>
      <c r="U181" s="124"/>
      <c r="V181" s="124"/>
      <c r="W181" s="185"/>
      <c r="X181" s="186"/>
      <c r="Y181" s="186"/>
      <c r="Z181" s="121"/>
      <c r="AA181" s="121"/>
      <c r="AB181" s="121"/>
      <c r="AC181" s="121"/>
      <c r="AD181" s="121"/>
      <c r="AE181" s="187"/>
    </row>
    <row r="182" spans="2:31" outlineLevel="1" x14ac:dyDescent="0.3">
      <c r="B182" s="140"/>
      <c r="C182" s="140"/>
      <c r="D182" s="140"/>
      <c r="E182" s="140"/>
      <c r="F182" s="140"/>
      <c r="G182" s="140"/>
      <c r="H182" s="140"/>
      <c r="I182" s="140"/>
      <c r="J182" s="140"/>
      <c r="K182" s="140"/>
      <c r="L182" s="140"/>
      <c r="M182" s="124"/>
      <c r="N182" s="124"/>
      <c r="O182" s="124"/>
      <c r="P182" s="124"/>
      <c r="Q182" s="124"/>
      <c r="R182" s="124"/>
      <c r="S182" s="124"/>
      <c r="T182" s="124"/>
      <c r="U182" s="124"/>
      <c r="V182" s="124"/>
      <c r="W182" s="185"/>
      <c r="X182" s="186"/>
      <c r="Y182" s="186"/>
      <c r="Z182" s="121"/>
      <c r="AA182" s="121"/>
      <c r="AB182" s="121"/>
      <c r="AC182" s="121"/>
      <c r="AD182" s="121"/>
      <c r="AE182" s="187"/>
    </row>
    <row r="183" spans="2:31" outlineLevel="1" x14ac:dyDescent="0.3">
      <c r="B183" s="140"/>
      <c r="C183" s="140"/>
      <c r="D183" s="140"/>
      <c r="E183" s="140"/>
      <c r="F183" s="140"/>
      <c r="G183" s="140"/>
      <c r="H183" s="140"/>
      <c r="I183" s="140"/>
      <c r="J183" s="140"/>
      <c r="K183" s="140"/>
      <c r="L183" s="140"/>
      <c r="M183" s="124"/>
      <c r="N183" s="124"/>
      <c r="O183" s="124"/>
      <c r="P183" s="124"/>
      <c r="Q183" s="124"/>
      <c r="R183" s="124"/>
      <c r="S183" s="124"/>
      <c r="T183" s="124"/>
      <c r="U183" s="124"/>
      <c r="V183" s="124"/>
      <c r="W183" s="185"/>
      <c r="X183" s="186"/>
      <c r="Y183" s="186"/>
      <c r="Z183" s="121"/>
      <c r="AA183" s="121"/>
      <c r="AB183" s="121"/>
      <c r="AC183" s="121"/>
      <c r="AD183" s="121"/>
      <c r="AE183" s="187"/>
    </row>
    <row r="184" spans="2:31" outlineLevel="1" x14ac:dyDescent="0.3">
      <c r="B184" s="140"/>
      <c r="C184" s="140"/>
      <c r="D184" s="140"/>
      <c r="E184" s="140"/>
      <c r="F184" s="140"/>
      <c r="G184" s="140"/>
      <c r="H184" s="140"/>
      <c r="I184" s="140"/>
      <c r="J184" s="140"/>
      <c r="K184" s="140"/>
      <c r="L184" s="140"/>
      <c r="M184" s="124"/>
      <c r="N184" s="124"/>
      <c r="O184" s="124"/>
      <c r="P184" s="124"/>
      <c r="Q184" s="124"/>
      <c r="R184" s="124"/>
      <c r="S184" s="124"/>
      <c r="T184" s="124"/>
      <c r="U184" s="124"/>
      <c r="V184" s="124"/>
      <c r="W184" s="185"/>
      <c r="X184" s="186"/>
      <c r="Y184" s="186"/>
      <c r="Z184" s="121"/>
      <c r="AA184" s="121"/>
      <c r="AB184" s="121"/>
      <c r="AC184" s="121"/>
      <c r="AD184" s="121"/>
      <c r="AE184" s="187"/>
    </row>
    <row r="185" spans="2:31" outlineLevel="1" x14ac:dyDescent="0.3">
      <c r="B185" s="140"/>
      <c r="C185" s="140"/>
      <c r="D185" s="140"/>
      <c r="E185" s="140"/>
      <c r="F185" s="140"/>
      <c r="G185" s="140"/>
      <c r="H185" s="140"/>
      <c r="I185" s="140"/>
      <c r="J185" s="140"/>
      <c r="K185" s="140"/>
      <c r="L185" s="140"/>
      <c r="M185" s="124"/>
      <c r="N185" s="124"/>
      <c r="O185" s="124"/>
      <c r="P185" s="124"/>
      <c r="Q185" s="124"/>
      <c r="R185" s="124"/>
      <c r="S185" s="124"/>
      <c r="T185" s="124"/>
      <c r="U185" s="124"/>
      <c r="V185" s="124"/>
      <c r="W185" s="185"/>
      <c r="X185" s="186"/>
      <c r="Y185" s="186"/>
      <c r="Z185" s="121"/>
      <c r="AA185" s="121"/>
      <c r="AB185" s="121"/>
      <c r="AC185" s="121"/>
      <c r="AD185" s="121"/>
      <c r="AE185" s="187"/>
    </row>
    <row r="186" spans="2:31" outlineLevel="1" x14ac:dyDescent="0.3">
      <c r="B186" s="140"/>
      <c r="C186" s="140"/>
      <c r="D186" s="140"/>
      <c r="E186" s="140"/>
      <c r="F186" s="140"/>
      <c r="G186" s="140"/>
      <c r="H186" s="140"/>
      <c r="I186" s="140"/>
      <c r="J186" s="140"/>
      <c r="K186" s="140"/>
      <c r="L186" s="140"/>
      <c r="M186" s="124"/>
      <c r="N186" s="124"/>
      <c r="O186" s="124"/>
      <c r="P186" s="124"/>
      <c r="Q186" s="124"/>
      <c r="R186" s="124"/>
      <c r="S186" s="124"/>
      <c r="T186" s="124"/>
      <c r="U186" s="124"/>
      <c r="V186" s="124"/>
      <c r="W186" s="185"/>
      <c r="X186" s="186"/>
      <c r="Y186" s="186"/>
      <c r="Z186" s="121"/>
      <c r="AA186" s="121"/>
      <c r="AB186" s="121"/>
      <c r="AC186" s="121"/>
      <c r="AD186" s="121"/>
      <c r="AE186" s="187"/>
    </row>
    <row r="187" spans="2:31" outlineLevel="1" x14ac:dyDescent="0.3">
      <c r="B187" s="140"/>
      <c r="C187" s="140"/>
      <c r="D187" s="140"/>
      <c r="E187" s="140"/>
      <c r="F187" s="140"/>
      <c r="G187" s="140"/>
      <c r="H187" s="140"/>
      <c r="I187" s="140"/>
      <c r="J187" s="140"/>
      <c r="K187" s="140"/>
      <c r="L187" s="140"/>
      <c r="M187" s="124"/>
      <c r="N187" s="124"/>
      <c r="O187" s="124"/>
      <c r="P187" s="124"/>
      <c r="Q187" s="124"/>
      <c r="R187" s="124"/>
      <c r="S187" s="124"/>
      <c r="T187" s="124"/>
      <c r="U187" s="124"/>
      <c r="V187" s="124"/>
      <c r="W187" s="185"/>
      <c r="X187" s="186"/>
      <c r="Y187" s="186"/>
      <c r="Z187" s="121"/>
      <c r="AA187" s="121"/>
      <c r="AB187" s="121"/>
      <c r="AC187" s="121"/>
      <c r="AD187" s="121"/>
      <c r="AE187" s="187"/>
    </row>
    <row r="188" spans="2:31" outlineLevel="1" x14ac:dyDescent="0.3">
      <c r="B188" s="140"/>
      <c r="C188" s="140"/>
      <c r="D188" s="140"/>
      <c r="E188" s="140"/>
      <c r="F188" s="140"/>
      <c r="G188" s="140"/>
      <c r="H188" s="140"/>
      <c r="I188" s="140"/>
      <c r="J188" s="140"/>
      <c r="K188" s="140"/>
      <c r="L188" s="140"/>
      <c r="M188" s="124"/>
      <c r="N188" s="124"/>
      <c r="O188" s="124"/>
      <c r="P188" s="124"/>
      <c r="Q188" s="124"/>
      <c r="R188" s="124"/>
      <c r="S188" s="124"/>
      <c r="T188" s="124"/>
      <c r="U188" s="124"/>
      <c r="V188" s="124"/>
      <c r="W188" s="185"/>
      <c r="X188" s="186"/>
      <c r="Y188" s="186"/>
      <c r="Z188" s="121"/>
      <c r="AA188" s="121"/>
      <c r="AB188" s="121"/>
      <c r="AC188" s="121"/>
      <c r="AD188" s="121"/>
      <c r="AE188" s="187"/>
    </row>
    <row r="189" spans="2:31" outlineLevel="1" x14ac:dyDescent="0.3">
      <c r="B189" s="140"/>
      <c r="C189" s="140"/>
      <c r="D189" s="140"/>
      <c r="E189" s="140"/>
      <c r="F189" s="140"/>
      <c r="G189" s="140"/>
      <c r="H189" s="140"/>
      <c r="I189" s="140"/>
      <c r="J189" s="140"/>
      <c r="K189" s="140"/>
      <c r="L189" s="140"/>
      <c r="M189" s="124"/>
      <c r="N189" s="124"/>
      <c r="O189" s="124"/>
      <c r="P189" s="124"/>
      <c r="Q189" s="124"/>
      <c r="R189" s="124"/>
      <c r="S189" s="124"/>
      <c r="T189" s="124"/>
      <c r="U189" s="124"/>
      <c r="V189" s="124"/>
      <c r="W189" s="185"/>
      <c r="X189" s="186"/>
      <c r="Y189" s="186"/>
      <c r="Z189" s="121"/>
      <c r="AA189" s="121"/>
      <c r="AB189" s="121"/>
      <c r="AC189" s="121"/>
      <c r="AD189" s="121"/>
      <c r="AE189" s="187"/>
    </row>
    <row r="190" spans="2:31" outlineLevel="1" x14ac:dyDescent="0.3">
      <c r="B190" s="140"/>
      <c r="C190" s="140"/>
      <c r="D190" s="140"/>
      <c r="E190" s="140"/>
      <c r="F190" s="140"/>
      <c r="G190" s="140"/>
      <c r="H190" s="140"/>
      <c r="I190" s="140"/>
      <c r="J190" s="140"/>
      <c r="K190" s="140"/>
      <c r="L190" s="140"/>
      <c r="M190" s="124"/>
      <c r="N190" s="124"/>
      <c r="O190" s="124"/>
      <c r="P190" s="124"/>
      <c r="Q190" s="124"/>
      <c r="R190" s="124"/>
      <c r="S190" s="124"/>
      <c r="T190" s="124"/>
      <c r="U190" s="124"/>
      <c r="V190" s="124"/>
      <c r="W190" s="185"/>
      <c r="X190" s="186"/>
      <c r="Y190" s="186"/>
      <c r="Z190" s="121"/>
      <c r="AA190" s="121"/>
      <c r="AB190" s="121"/>
      <c r="AC190" s="121"/>
      <c r="AD190" s="121"/>
      <c r="AE190" s="187"/>
    </row>
    <row r="191" spans="2:31" outlineLevel="1" x14ac:dyDescent="0.3">
      <c r="B191" s="140"/>
      <c r="C191" s="140"/>
      <c r="D191" s="140"/>
      <c r="E191" s="140"/>
      <c r="F191" s="140"/>
      <c r="G191" s="140"/>
      <c r="H191" s="140"/>
      <c r="I191" s="140"/>
      <c r="J191" s="140"/>
      <c r="K191" s="140"/>
      <c r="L191" s="140"/>
      <c r="M191" s="124"/>
      <c r="N191" s="124"/>
      <c r="O191" s="124"/>
      <c r="P191" s="124"/>
      <c r="Q191" s="124"/>
      <c r="R191" s="124"/>
      <c r="S191" s="124"/>
      <c r="T191" s="124"/>
      <c r="U191" s="124"/>
      <c r="V191" s="124"/>
      <c r="W191" s="185"/>
      <c r="X191" s="186"/>
      <c r="Y191" s="186"/>
      <c r="Z191" s="121"/>
      <c r="AA191" s="121"/>
      <c r="AB191" s="121"/>
      <c r="AC191" s="121"/>
      <c r="AD191" s="121"/>
      <c r="AE191" s="187"/>
    </row>
    <row r="192" spans="2:31" outlineLevel="1" x14ac:dyDescent="0.3">
      <c r="B192" s="140"/>
      <c r="C192" s="140"/>
      <c r="D192" s="140"/>
      <c r="E192" s="140"/>
      <c r="F192" s="140"/>
      <c r="G192" s="140"/>
      <c r="H192" s="140"/>
      <c r="I192" s="140"/>
      <c r="J192" s="140"/>
      <c r="K192" s="140"/>
      <c r="L192" s="140"/>
      <c r="M192" s="124"/>
      <c r="N192" s="124"/>
      <c r="O192" s="124"/>
      <c r="P192" s="124"/>
      <c r="Q192" s="124"/>
      <c r="R192" s="124"/>
      <c r="S192" s="124"/>
      <c r="T192" s="124"/>
      <c r="U192" s="124"/>
      <c r="V192" s="124"/>
      <c r="W192" s="185"/>
      <c r="X192" s="186"/>
      <c r="Y192" s="186"/>
      <c r="Z192" s="121"/>
      <c r="AA192" s="121"/>
      <c r="AB192" s="121"/>
      <c r="AC192" s="121"/>
      <c r="AD192" s="121"/>
      <c r="AE192" s="187"/>
    </row>
    <row r="193" spans="1:48" outlineLevel="1" x14ac:dyDescent="0.3">
      <c r="B193" s="140"/>
      <c r="C193" s="140"/>
      <c r="D193" s="140"/>
      <c r="E193" s="140"/>
      <c r="F193" s="140"/>
      <c r="G193" s="140"/>
      <c r="H193" s="140"/>
      <c r="I193" s="140"/>
      <c r="J193" s="140"/>
      <c r="K193" s="140"/>
      <c r="L193" s="140"/>
      <c r="M193" s="124"/>
      <c r="N193" s="124"/>
      <c r="O193" s="124"/>
      <c r="P193" s="124"/>
      <c r="Q193" s="124"/>
      <c r="R193" s="124"/>
      <c r="S193" s="124"/>
      <c r="T193" s="124"/>
      <c r="U193" s="124"/>
      <c r="V193" s="124"/>
      <c r="W193" s="185"/>
      <c r="X193" s="186"/>
      <c r="Y193" s="186"/>
      <c r="Z193" s="121"/>
      <c r="AA193" s="121"/>
      <c r="AB193" s="121"/>
      <c r="AC193" s="121"/>
      <c r="AD193" s="121"/>
      <c r="AE193" s="187"/>
    </row>
    <row r="194" spans="1:48" outlineLevel="1" x14ac:dyDescent="0.3">
      <c r="B194" s="140"/>
      <c r="C194" s="140"/>
      <c r="D194" s="140"/>
      <c r="E194" s="140"/>
      <c r="F194" s="140"/>
      <c r="G194" s="140"/>
      <c r="H194" s="140"/>
      <c r="I194" s="140"/>
      <c r="J194" s="140"/>
      <c r="K194" s="140"/>
      <c r="L194" s="140"/>
      <c r="M194" s="124"/>
      <c r="N194" s="124"/>
      <c r="O194" s="124"/>
      <c r="P194" s="124"/>
      <c r="Q194" s="124"/>
      <c r="R194" s="124"/>
      <c r="S194" s="124"/>
      <c r="T194" s="124"/>
      <c r="U194" s="124"/>
      <c r="V194" s="124"/>
      <c r="W194" s="185"/>
      <c r="X194" s="186"/>
      <c r="Y194" s="186"/>
      <c r="Z194" s="121"/>
      <c r="AA194" s="121"/>
      <c r="AB194" s="121"/>
      <c r="AC194" s="121"/>
      <c r="AD194" s="121"/>
      <c r="AE194" s="187"/>
    </row>
    <row r="195" spans="1:48" outlineLevel="1" x14ac:dyDescent="0.3">
      <c r="B195" s="140"/>
      <c r="C195" s="140"/>
      <c r="D195" s="140"/>
      <c r="E195" s="140"/>
      <c r="F195" s="140"/>
      <c r="G195" s="140"/>
      <c r="H195" s="140"/>
      <c r="I195" s="140"/>
      <c r="J195" s="140"/>
      <c r="K195" s="140"/>
      <c r="L195" s="140"/>
      <c r="M195" s="124"/>
      <c r="N195" s="124"/>
      <c r="O195" s="124"/>
      <c r="P195" s="124"/>
      <c r="Q195" s="124"/>
      <c r="R195" s="124"/>
      <c r="S195" s="124"/>
      <c r="T195" s="124"/>
      <c r="U195" s="124"/>
      <c r="V195" s="124"/>
      <c r="W195" s="185"/>
      <c r="X195" s="186"/>
      <c r="Y195" s="186"/>
      <c r="Z195" s="121"/>
      <c r="AA195" s="121"/>
      <c r="AB195" s="121"/>
      <c r="AC195" s="121"/>
      <c r="AD195" s="121"/>
      <c r="AE195" s="187"/>
    </row>
    <row r="196" spans="1:48" outlineLevel="1" x14ac:dyDescent="0.3">
      <c r="B196" s="140"/>
      <c r="C196" s="140"/>
      <c r="D196" s="140"/>
      <c r="E196" s="140"/>
      <c r="F196" s="140"/>
      <c r="G196" s="140"/>
      <c r="H196" s="140"/>
      <c r="I196" s="140"/>
      <c r="J196" s="140"/>
      <c r="K196" s="140"/>
      <c r="L196" s="140"/>
      <c r="M196" s="124"/>
      <c r="N196" s="124"/>
      <c r="O196" s="124"/>
      <c r="P196" s="124"/>
      <c r="Q196" s="124"/>
      <c r="R196" s="124"/>
      <c r="S196" s="124"/>
      <c r="T196" s="124"/>
      <c r="U196" s="124"/>
      <c r="V196" s="124"/>
      <c r="W196" s="185"/>
      <c r="X196" s="186"/>
      <c r="Y196" s="186"/>
      <c r="Z196" s="121"/>
      <c r="AA196" s="121"/>
      <c r="AB196" s="121"/>
      <c r="AC196" s="121"/>
      <c r="AD196" s="121"/>
      <c r="AE196" s="187"/>
    </row>
    <row r="197" spans="1:48" outlineLevel="1" x14ac:dyDescent="0.3">
      <c r="B197" s="140"/>
      <c r="C197" s="140"/>
      <c r="D197" s="140"/>
      <c r="E197" s="140"/>
      <c r="F197" s="140"/>
      <c r="G197" s="140"/>
      <c r="H197" s="140"/>
      <c r="I197" s="140"/>
      <c r="J197" s="140"/>
      <c r="K197" s="140"/>
      <c r="L197" s="140"/>
      <c r="M197" s="124"/>
      <c r="N197" s="124"/>
      <c r="O197" s="124"/>
      <c r="P197" s="124"/>
      <c r="Q197" s="124"/>
      <c r="R197" s="124"/>
      <c r="S197" s="124"/>
      <c r="T197" s="124"/>
      <c r="U197" s="124"/>
      <c r="V197" s="124"/>
      <c r="W197" s="185"/>
      <c r="X197" s="186"/>
      <c r="Y197" s="186"/>
      <c r="Z197" s="121"/>
      <c r="AA197" s="121"/>
      <c r="AB197" s="121"/>
      <c r="AC197" s="121"/>
      <c r="AD197" s="121"/>
      <c r="AE197" s="187"/>
    </row>
    <row r="198" spans="1:48" outlineLevel="1" x14ac:dyDescent="0.3">
      <c r="B198" s="140"/>
      <c r="C198" s="140"/>
      <c r="D198" s="140"/>
      <c r="E198" s="140"/>
      <c r="F198" s="140"/>
      <c r="G198" s="140"/>
      <c r="H198" s="140"/>
      <c r="I198" s="140"/>
      <c r="J198" s="140"/>
      <c r="K198" s="140"/>
      <c r="L198" s="140"/>
      <c r="M198" s="124"/>
      <c r="N198" s="124"/>
      <c r="O198" s="124"/>
      <c r="P198" s="124"/>
      <c r="Q198" s="124"/>
      <c r="R198" s="124"/>
      <c r="S198" s="124"/>
      <c r="T198" s="124"/>
      <c r="U198" s="124"/>
      <c r="V198" s="124"/>
      <c r="W198" s="185"/>
      <c r="X198" s="186"/>
      <c r="Y198" s="186"/>
      <c r="Z198" s="121"/>
      <c r="AA198" s="121"/>
      <c r="AB198" s="121"/>
      <c r="AC198" s="121"/>
      <c r="AD198" s="121"/>
      <c r="AE198" s="187"/>
    </row>
    <row r="199" spans="1:48" outlineLevel="1" x14ac:dyDescent="0.3">
      <c r="B199" s="140"/>
      <c r="C199" s="140"/>
      <c r="D199" s="140"/>
      <c r="E199" s="140"/>
      <c r="F199" s="140"/>
      <c r="G199" s="140"/>
      <c r="H199" s="140"/>
      <c r="I199" s="140"/>
      <c r="J199" s="140"/>
      <c r="K199" s="140"/>
      <c r="L199" s="140"/>
      <c r="M199" s="124"/>
      <c r="N199" s="124"/>
      <c r="O199" s="124"/>
      <c r="P199" s="124"/>
      <c r="Q199" s="124"/>
      <c r="R199" s="124"/>
      <c r="S199" s="124"/>
      <c r="T199" s="124"/>
      <c r="U199" s="124"/>
      <c r="V199" s="124"/>
      <c r="W199" s="185"/>
      <c r="X199" s="186"/>
      <c r="Y199" s="186"/>
      <c r="Z199" s="121"/>
      <c r="AA199" s="121"/>
      <c r="AB199" s="121"/>
      <c r="AC199" s="121"/>
      <c r="AD199" s="121"/>
      <c r="AE199" s="187"/>
    </row>
    <row r="200" spans="1:48" outlineLevel="1" x14ac:dyDescent="0.3">
      <c r="B200" s="140"/>
      <c r="C200" s="140"/>
      <c r="D200" s="140"/>
      <c r="E200" s="140"/>
      <c r="F200" s="140"/>
      <c r="G200" s="140"/>
      <c r="H200" s="140"/>
      <c r="I200" s="140"/>
      <c r="J200" s="140"/>
      <c r="K200" s="140"/>
      <c r="L200" s="140"/>
      <c r="M200" s="124"/>
      <c r="N200" s="124"/>
      <c r="O200" s="124"/>
      <c r="P200" s="124"/>
      <c r="Q200" s="124"/>
      <c r="R200" s="124"/>
      <c r="S200" s="124"/>
      <c r="T200" s="124"/>
      <c r="U200" s="124"/>
      <c r="V200" s="124"/>
      <c r="W200" s="185"/>
      <c r="X200" s="186"/>
      <c r="Y200" s="186"/>
      <c r="Z200" s="121"/>
      <c r="AA200" s="121"/>
      <c r="AB200" s="121"/>
      <c r="AC200" s="121"/>
      <c r="AD200" s="121"/>
      <c r="AE200" s="187"/>
    </row>
    <row r="201" spans="1:48" outlineLevel="1" x14ac:dyDescent="0.3">
      <c r="B201" s="140"/>
      <c r="C201" s="140"/>
      <c r="D201" s="140"/>
      <c r="E201" s="140"/>
      <c r="F201" s="140"/>
      <c r="G201" s="140"/>
      <c r="H201" s="140"/>
      <c r="I201" s="140"/>
      <c r="J201" s="140"/>
      <c r="K201" s="140"/>
      <c r="L201" s="140"/>
      <c r="M201" s="124"/>
      <c r="N201" s="124"/>
      <c r="O201" s="124"/>
      <c r="P201" s="124"/>
      <c r="Q201" s="124"/>
      <c r="R201" s="124"/>
      <c r="S201" s="124"/>
      <c r="T201" s="124"/>
      <c r="U201" s="124"/>
      <c r="V201" s="124"/>
      <c r="W201" s="185"/>
      <c r="X201" s="186"/>
      <c r="Y201" s="186"/>
      <c r="Z201" s="121"/>
      <c r="AA201" s="121"/>
      <c r="AB201" s="121"/>
      <c r="AC201" s="121"/>
      <c r="AD201" s="121"/>
      <c r="AE201" s="187"/>
    </row>
    <row r="202" spans="1:48" outlineLevel="1" x14ac:dyDescent="0.3">
      <c r="B202" s="140"/>
      <c r="C202" s="140"/>
      <c r="D202" s="140"/>
      <c r="E202" s="140"/>
      <c r="F202" s="140"/>
      <c r="G202" s="140"/>
      <c r="H202" s="140"/>
      <c r="I202" s="140"/>
      <c r="J202" s="140"/>
      <c r="K202" s="140"/>
      <c r="L202" s="140"/>
      <c r="M202" s="124"/>
      <c r="N202" s="124"/>
      <c r="O202" s="124"/>
      <c r="P202" s="124"/>
      <c r="Q202" s="124"/>
      <c r="R202" s="124"/>
      <c r="S202" s="124"/>
      <c r="T202" s="124"/>
      <c r="U202" s="124"/>
      <c r="V202" s="124"/>
      <c r="W202" s="185"/>
      <c r="X202" s="186"/>
      <c r="Y202" s="186"/>
      <c r="Z202" s="121"/>
      <c r="AA202" s="121"/>
      <c r="AB202" s="121"/>
      <c r="AC202" s="121"/>
      <c r="AD202" s="121"/>
      <c r="AE202" s="187"/>
    </row>
    <row r="203" spans="1:48" outlineLevel="1" x14ac:dyDescent="0.3">
      <c r="B203" s="140"/>
      <c r="C203" s="140"/>
      <c r="D203" s="140"/>
      <c r="E203" s="140"/>
      <c r="F203" s="140"/>
      <c r="G203" s="140"/>
      <c r="H203" s="140"/>
      <c r="I203" s="140"/>
      <c r="J203" s="140"/>
      <c r="K203" s="140"/>
      <c r="L203" s="140"/>
      <c r="M203" s="124"/>
      <c r="N203" s="124"/>
      <c r="O203" s="124"/>
      <c r="P203" s="124"/>
      <c r="Q203" s="124"/>
      <c r="R203" s="124"/>
      <c r="S203" s="124"/>
      <c r="T203" s="124"/>
      <c r="U203" s="124"/>
      <c r="V203" s="124"/>
      <c r="W203" s="185"/>
      <c r="X203" s="186"/>
      <c r="Y203" s="186"/>
      <c r="Z203" s="121"/>
      <c r="AA203" s="121"/>
      <c r="AB203" s="121"/>
      <c r="AC203" s="121"/>
      <c r="AD203" s="121"/>
      <c r="AE203" s="187"/>
    </row>
    <row r="204" spans="1:48" outlineLevel="1" x14ac:dyDescent="0.3">
      <c r="B204" s="140"/>
      <c r="C204" s="140"/>
      <c r="D204" s="140"/>
      <c r="E204" s="140"/>
      <c r="F204" s="140"/>
      <c r="G204" s="140"/>
      <c r="H204" s="140"/>
      <c r="I204" s="140"/>
      <c r="J204" s="140"/>
      <c r="K204" s="140"/>
      <c r="L204" s="140"/>
      <c r="M204" s="124"/>
      <c r="N204" s="124"/>
      <c r="O204" s="124"/>
      <c r="P204" s="124"/>
      <c r="Q204" s="124"/>
      <c r="R204" s="124"/>
      <c r="S204" s="124"/>
      <c r="T204" s="124"/>
      <c r="U204" s="124"/>
      <c r="V204" s="124"/>
      <c r="W204" s="185"/>
      <c r="X204" s="186"/>
      <c r="Y204" s="186"/>
      <c r="Z204" s="121"/>
      <c r="AA204" s="121"/>
      <c r="AB204" s="121"/>
      <c r="AC204" s="121"/>
      <c r="AD204" s="121"/>
      <c r="AE204" s="187"/>
    </row>
    <row r="205" spans="1:48" x14ac:dyDescent="0.3">
      <c r="B205" s="140"/>
      <c r="C205" s="140"/>
      <c r="D205" s="140"/>
      <c r="E205" s="140"/>
      <c r="F205" s="140"/>
      <c r="G205" s="140"/>
      <c r="H205" s="140"/>
      <c r="I205" s="140"/>
      <c r="J205" s="140"/>
      <c r="K205" s="140"/>
      <c r="L205" s="140"/>
      <c r="M205" s="124"/>
      <c r="N205" s="124"/>
      <c r="O205" s="124"/>
      <c r="P205" s="124"/>
      <c r="Q205" s="124"/>
      <c r="R205" s="124"/>
      <c r="S205" s="124"/>
      <c r="T205" s="124"/>
      <c r="U205" s="124"/>
      <c r="V205" s="124"/>
      <c r="W205" s="185"/>
      <c r="X205" s="186"/>
      <c r="Y205" s="186"/>
      <c r="Z205" s="121"/>
      <c r="AA205" s="121"/>
      <c r="AB205" s="121"/>
      <c r="AC205" s="121"/>
      <c r="AD205" s="121"/>
      <c r="AE205" s="187"/>
    </row>
    <row r="206" spans="1:48" s="102" customFormat="1" x14ac:dyDescent="0.3">
      <c r="A206" s="176" t="s">
        <v>157</v>
      </c>
      <c r="B206" s="140" t="str" cm="1">
        <f t="array" ref="B206">IFERROR(_xll.FDS($A$1,""&amp;#REF!&amp;"("&amp;(CHOOSE($C$1,$AG$4,#REF!))&amp;","&amp;B$7&amp;",,,,"&amp;$E$1&amp;")"),"")</f>
        <v/>
      </c>
      <c r="C206" s="140" t="str" cm="1">
        <f t="array" ref="C206">IFERROR(_xll.FDS($A$1,""&amp;#REF!&amp;"("&amp;(CHOOSE($C$1,$AG$4,#REF!))&amp;","&amp;C$7&amp;",,,,"&amp;$E$1&amp;")"),"")</f>
        <v/>
      </c>
      <c r="D206" s="140" t="str" cm="1">
        <f t="array" ref="D206">IFERROR(_xll.FDS($A$1,""&amp;#REF!&amp;"("&amp;(CHOOSE($C$1,$AG$4,#REF!))&amp;","&amp;D$7&amp;",,,,"&amp;$E$1&amp;")"),"")</f>
        <v/>
      </c>
      <c r="E206" s="140" t="str" cm="1">
        <f t="array" ref="E206">IFERROR(_xll.FDS($A$1,""&amp;#REF!&amp;"("&amp;(CHOOSE($C$1,$AG$4,#REF!))&amp;","&amp;E$7&amp;",,,,"&amp;$E$1&amp;")"),"")</f>
        <v/>
      </c>
      <c r="F206" s="140" t="str" cm="1">
        <f t="array" ref="F206">IFERROR(_xll.FDS($A$1,""&amp;#REF!&amp;"("&amp;(CHOOSE($C$1,$AG$4,#REF!))&amp;","&amp;F$7&amp;",,,,"&amp;$E$1&amp;")"),"")</f>
        <v/>
      </c>
      <c r="G206" s="140" t="str" cm="1">
        <f t="array" ref="G206">IFERROR(_xll.FDS($A$1,""&amp;#REF!&amp;"("&amp;(CHOOSE($C$1,$AG$4,#REF!))&amp;","&amp;G$7&amp;",,,,"&amp;$E$1&amp;")"),"")</f>
        <v/>
      </c>
      <c r="H206" s="140" t="str" cm="1">
        <f t="array" ref="H206">IFERROR(_xll.FDS($A$1,""&amp;#REF!&amp;"("&amp;(CHOOSE($C$1,$AG$4,#REF!))&amp;","&amp;H$7&amp;",,,,"&amp;$E$1&amp;")"),"")</f>
        <v/>
      </c>
      <c r="I206" s="140" t="str" cm="1">
        <f t="array" ref="I206">IFERROR(_xll.FDS($A$1,""&amp;#REF!&amp;"("&amp;(CHOOSE($C$1,$AG$4,#REF!))&amp;","&amp;I$7&amp;",,,,"&amp;$E$1&amp;")"),"")</f>
        <v/>
      </c>
      <c r="J206" s="140" t="str" cm="1">
        <f t="array" ref="J206">IFERROR(_xll.FDS($A$1,""&amp;#REF!&amp;"("&amp;(CHOOSE($C$1,$AG$4,#REF!))&amp;","&amp;J$7&amp;",,,,"&amp;$E$1&amp;")"),"")</f>
        <v/>
      </c>
      <c r="K206" s="140" t="str" cm="1">
        <f t="array" ref="K206">IFERROR(_xll.FDS($A$1,""&amp;#REF!&amp;"("&amp;(CHOOSE($C$1,$AG$4,#REF!))&amp;","&amp;K$7&amp;",,,,"&amp;$E$1&amp;")"),"")</f>
        <v/>
      </c>
      <c r="L206" s="140" t="str" cm="1">
        <f t="array" ref="L206">IFERROR(_xll.FDS($A$1,""&amp;#REF!&amp;"("&amp;(CHOOSE($C$1,$AG$4,#REF!))&amp;","&amp;L$7&amp;",,,,"&amp;$E$1&amp;")"),"")</f>
        <v/>
      </c>
      <c r="M206" s="124"/>
      <c r="N206" s="124"/>
      <c r="O206" s="124"/>
      <c r="P206" s="124"/>
      <c r="Q206" s="124"/>
      <c r="R206" s="124"/>
      <c r="S206" s="124"/>
      <c r="T206" s="124"/>
      <c r="U206" s="124"/>
      <c r="V206" s="124"/>
      <c r="W206" s="178"/>
      <c r="X206" s="179"/>
      <c r="Y206" s="179"/>
      <c r="Z206" s="180"/>
      <c r="AA206" s="180"/>
      <c r="AB206" s="180"/>
      <c r="AC206" s="180"/>
      <c r="AD206" s="180"/>
      <c r="AE206" s="181"/>
      <c r="AL206" s="79"/>
      <c r="AM206" s="79"/>
      <c r="AN206" s="79"/>
      <c r="AO206" s="79"/>
      <c r="AP206" s="79"/>
      <c r="AQ206" s="79"/>
      <c r="AR206" s="79"/>
      <c r="AS206" s="79"/>
      <c r="AT206" s="79"/>
      <c r="AU206" s="79"/>
      <c r="AV206" s="79"/>
    </row>
    <row r="207" spans="1:48" s="102" customFormat="1" outlineLevel="1" x14ac:dyDescent="0.3">
      <c r="A207" s="176" t="s">
        <v>158</v>
      </c>
      <c r="B207" s="140"/>
      <c r="C207" s="140"/>
      <c r="D207" s="140"/>
      <c r="E207" s="140"/>
      <c r="F207" s="140"/>
      <c r="G207" s="140"/>
      <c r="H207" s="140"/>
      <c r="I207" s="140"/>
      <c r="J207" s="140"/>
      <c r="K207" s="140"/>
      <c r="L207" s="140"/>
      <c r="M207" s="124"/>
      <c r="N207" s="124"/>
      <c r="O207" s="124"/>
      <c r="P207" s="124"/>
      <c r="Q207" s="124"/>
      <c r="R207" s="124"/>
      <c r="S207" s="124"/>
      <c r="T207" s="124"/>
      <c r="U207" s="124"/>
      <c r="V207" s="124"/>
      <c r="W207" s="178"/>
      <c r="X207" s="179"/>
      <c r="Y207" s="179"/>
      <c r="Z207" s="180"/>
      <c r="AA207" s="180"/>
      <c r="AB207" s="180"/>
      <c r="AC207" s="180"/>
      <c r="AD207" s="180"/>
      <c r="AE207" s="181"/>
      <c r="AL207" s="79"/>
      <c r="AM207" s="79"/>
      <c r="AN207" s="79"/>
      <c r="AO207" s="79"/>
      <c r="AP207" s="79"/>
      <c r="AQ207" s="79"/>
      <c r="AR207" s="79"/>
      <c r="AS207" s="79"/>
      <c r="AT207" s="79"/>
      <c r="AU207" s="79"/>
      <c r="AV207" s="79"/>
    </row>
    <row r="208" spans="1:48" outlineLevel="1" x14ac:dyDescent="0.3">
      <c r="A208" s="79" t="s">
        <v>126</v>
      </c>
      <c r="B208" s="140">
        <f>CHOOSE(IF($B$1=2,2,1),'GAAP-IFRS'!E50,IF('Broker Actual'!E50="-",'GAAP-IFRS'!E50,'Broker Actual'!E50))</f>
        <v>29.835000000000001</v>
      </c>
      <c r="C208" s="140">
        <f>CHOOSE(IF($B$1=2,2,1),'GAAP-IFRS'!F50,IF('Broker Actual'!F50="-",'GAAP-IFRS'!F50,'Broker Actual'!F50))</f>
        <v>65.457999999999998</v>
      </c>
      <c r="D208" s="140">
        <f>CHOOSE(IF($B$1=2,2,1),'GAAP-IFRS'!G50,IF('Broker Actual'!G50="-",'GAAP-IFRS'!G50,'Broker Actual'!G50))</f>
        <v>62.664000000000001</v>
      </c>
      <c r="E208" s="140">
        <f>CHOOSE(IF($B$1=2,2,1),'GAAP-IFRS'!H50,IF('Broker Actual'!H50="-",'GAAP-IFRS'!H50,'Broker Actual'!H50))</f>
        <v>65.861000000000004</v>
      </c>
      <c r="F208" s="140">
        <f>CHOOSE(IF($B$1=2,2,1),'GAAP-IFRS'!I50,IF('Broker Actual'!I50="-",'GAAP-IFRS'!I50,'Broker Actual'!I50))</f>
        <v>29.021000000000001</v>
      </c>
      <c r="G208" s="140">
        <f>CHOOSE(IF($B$1=2,2,1),'GAAP-IFRS'!J50,IF('Broker Actual'!J50="-",'GAAP-IFRS'!J50,'Broker Actual'!J50))</f>
        <v>-6.8929999999999998</v>
      </c>
      <c r="H208" s="140">
        <f>CHOOSE(IF($B$1=2,2,1),'GAAP-IFRS'!K50,IF('Broker Actual'!K50="-",'GAAP-IFRS'!K50,'Broker Actual'!K50))</f>
        <v>17.725000000000001</v>
      </c>
      <c r="I208" s="140">
        <f>CHOOSE(IF($B$1=2,2,1),'GAAP-IFRS'!L50,IF('Broker Actual'!L50="-",'GAAP-IFRS'!L50,'Broker Actual'!L50))</f>
        <v>26.576000000000001</v>
      </c>
      <c r="J208" s="140">
        <f>CHOOSE(IF($B$1=2,2,1),'GAAP-IFRS'!M50,IF('Broker Actual'!M50="-",'GAAP-IFRS'!M50,'Broker Actual'!M50))</f>
        <v>27.58</v>
      </c>
      <c r="K208" s="140">
        <f>CHOOSE(IF($B$1=2,2,1),'GAAP-IFRS'!N50,IF('Broker Actual'!N50="-",'GAAP-IFRS'!N50,'Broker Actual'!N50))</f>
        <v>7.242</v>
      </c>
      <c r="L208" s="140">
        <f>CHOOSE(IF($B$1=2,2,1),'GAAP-IFRS'!O50,IF('Broker Actual'!O50="-",'GAAP-IFRS'!O50,'Broker Actual'!O50))</f>
        <v>-54.603000000000002</v>
      </c>
      <c r="M208" s="141">
        <f>M128</f>
        <v>33.883915034355987</v>
      </c>
      <c r="N208" s="141">
        <f>N128</f>
        <v>52.092509842261741</v>
      </c>
      <c r="O208" s="141">
        <f>O128</f>
        <v>55.246116544374843</v>
      </c>
      <c r="P208" s="141">
        <f>P128</f>
        <v>61.372616157200881</v>
      </c>
      <c r="Q208" s="141">
        <f>Q128</f>
        <v>67.676844651408459</v>
      </c>
      <c r="R208" s="124"/>
      <c r="S208" s="124"/>
      <c r="T208" s="124"/>
      <c r="U208" s="124"/>
      <c r="V208" s="124"/>
      <c r="W208" s="125"/>
      <c r="X208" s="126" t="s">
        <v>91</v>
      </c>
      <c r="Y208" s="126" t="s">
        <v>159</v>
      </c>
      <c r="Z208" s="124" t="str" cm="1">
        <f t="array" ref="Z208">_xll.FDSC("--",$A$1,""&amp;$X208&amp;"("&amp;$Y208&amp;","&amp;D$2&amp;",ANNUAL_ROLL,+1,0,,,'CURRENCY="&amp;$E$1&amp;"')")</f>
        <v>--</v>
      </c>
      <c r="AA208" s="124" t="str" cm="1">
        <f t="array" ref="AA208">_xll.FDSC("--",$A$1,""&amp;$X208&amp;"("&amp;$Y208&amp;","&amp;D$2&amp;",ANNUAL_ROLL,+2,0,,,'CURRENCY="&amp;$E$1&amp;"')")</f>
        <v>--</v>
      </c>
      <c r="AB208" s="124" t="str" cm="1">
        <f t="array" ref="AB208">_xll.FDSC("--",$A$1,""&amp;$X208&amp;"("&amp;$Y208&amp;","&amp;D$2&amp;",ANNUAL_ROLL,+3,0,,,'CURRENCY="&amp;$E$1&amp;"')")</f>
        <v>--</v>
      </c>
      <c r="AC208" s="124"/>
      <c r="AD208" s="124" cm="1">
        <f t="array" ref="AD208">_xll.FDSC("--",$A$1,"FF_FUNDS_OPER_GROSS(LTM_R,0,,,,"&amp;$E$1&amp;")@FF_FUNDS_OPER_GROSS(LTM_SEMI_R,0,,,,"&amp;$E$1&amp;")")</f>
        <v>-18.521000000000001</v>
      </c>
      <c r="AE208" s="127"/>
    </row>
    <row r="209" spans="1:31" outlineLevel="1" x14ac:dyDescent="0.3">
      <c r="A209" s="78" t="s">
        <v>160</v>
      </c>
      <c r="B209" s="140" t="str">
        <f>CHOOSE(IF($B$1=2,2,1),'GAAP-IFRS'!E51,IF('Broker Actual'!E51="-",'GAAP-IFRS'!E51,'Broker Actual'!E51))</f>
        <v/>
      </c>
      <c r="C209" s="140" t="str">
        <f>CHOOSE(IF($B$1=2,2,1),'GAAP-IFRS'!F51,IF('Broker Actual'!F51="-",'GAAP-IFRS'!F51,'Broker Actual'!F51))</f>
        <v/>
      </c>
      <c r="D209" s="140" t="str">
        <f>CHOOSE(IF($B$1=2,2,1),'GAAP-IFRS'!G51,IF('Broker Actual'!G51="-",'GAAP-IFRS'!G51,'Broker Actual'!G51))</f>
        <v/>
      </c>
      <c r="E209" s="140" t="str">
        <f>CHOOSE(IF($B$1=2,2,1),'GAAP-IFRS'!H51,IF('Broker Actual'!H51="-",'GAAP-IFRS'!H51,'Broker Actual'!H51))</f>
        <v/>
      </c>
      <c r="F209" s="140" t="str">
        <f>CHOOSE(IF($B$1=2,2,1),'GAAP-IFRS'!I51,IF('Broker Actual'!I51="-",'GAAP-IFRS'!I51,'Broker Actual'!I51))</f>
        <v/>
      </c>
      <c r="G209" s="140" t="str">
        <f>CHOOSE(IF($B$1=2,2,1),'GAAP-IFRS'!J51,IF('Broker Actual'!J51="-",'GAAP-IFRS'!J51,'Broker Actual'!J51))</f>
        <v/>
      </c>
      <c r="H209" s="140" t="str">
        <f>CHOOSE(IF($B$1=2,2,1),'GAAP-IFRS'!K51,IF('Broker Actual'!K51="-",'GAAP-IFRS'!K51,'Broker Actual'!K51))</f>
        <v/>
      </c>
      <c r="I209" s="140" t="str">
        <f>CHOOSE(IF($B$1=2,2,1),'GAAP-IFRS'!L51,IF('Broker Actual'!L51="-",'GAAP-IFRS'!L51,'Broker Actual'!L51))</f>
        <v/>
      </c>
      <c r="J209" s="140" t="str">
        <f>CHOOSE(IF($B$1=2,2,1),'GAAP-IFRS'!M51,IF('Broker Actual'!M51="-",'GAAP-IFRS'!M51,'Broker Actual'!M51))</f>
        <v/>
      </c>
      <c r="K209" s="140" t="str">
        <f>CHOOSE(IF($B$1=2,2,1),'GAAP-IFRS'!N51,IF('Broker Actual'!N51="-",'GAAP-IFRS'!N51,'Broker Actual'!N51))</f>
        <v/>
      </c>
      <c r="L209" s="140" t="str">
        <f>CHOOSE(IF($B$1=2,2,1),'GAAP-IFRS'!O51,IF('Broker Actual'!O51="-",'GAAP-IFRS'!O51,'Broker Actual'!O51))</f>
        <v/>
      </c>
      <c r="M209" s="141">
        <f>M210*M$57</f>
        <v>0</v>
      </c>
      <c r="N209" s="141">
        <f t="shared" ref="N209:Q209" si="99">N210*N$57</f>
        <v>0</v>
      </c>
      <c r="O209" s="141">
        <f t="shared" si="99"/>
        <v>0</v>
      </c>
      <c r="P209" s="141">
        <f t="shared" si="99"/>
        <v>0</v>
      </c>
      <c r="Q209" s="141">
        <f t="shared" si="99"/>
        <v>0</v>
      </c>
      <c r="R209" s="124"/>
      <c r="S209" s="124"/>
      <c r="T209" s="124"/>
      <c r="U209" s="124"/>
      <c r="V209" s="124"/>
      <c r="W209" s="125"/>
      <c r="X209" s="126"/>
      <c r="Y209" s="126"/>
      <c r="Z209" s="124"/>
      <c r="AA209" s="124"/>
      <c r="AB209" s="124"/>
      <c r="AC209" s="124"/>
      <c r="AD209" s="124"/>
      <c r="AE209" s="127"/>
    </row>
    <row r="210" spans="1:31" outlineLevel="1" x14ac:dyDescent="0.3">
      <c r="A210" s="129" t="s">
        <v>137</v>
      </c>
      <c r="B210" s="130" t="str">
        <f>IFERROR(B209/B$57,"")</f>
        <v/>
      </c>
      <c r="C210" s="130" t="str">
        <f t="shared" ref="C210:L210" si="100">IFERROR(C209/C$57,"")</f>
        <v/>
      </c>
      <c r="D210" s="130" t="str">
        <f t="shared" si="100"/>
        <v/>
      </c>
      <c r="E210" s="130" t="str">
        <f t="shared" si="100"/>
        <v/>
      </c>
      <c r="F210" s="130" t="str">
        <f t="shared" si="100"/>
        <v/>
      </c>
      <c r="G210" s="130" t="str">
        <f t="shared" si="100"/>
        <v/>
      </c>
      <c r="H210" s="130" t="str">
        <f t="shared" si="100"/>
        <v/>
      </c>
      <c r="I210" s="130" t="str">
        <f t="shared" si="100"/>
        <v/>
      </c>
      <c r="J210" s="130" t="str">
        <f t="shared" si="100"/>
        <v/>
      </c>
      <c r="K210" s="130" t="str">
        <f t="shared" si="100"/>
        <v/>
      </c>
      <c r="L210" s="130" t="str">
        <f t="shared" si="100"/>
        <v/>
      </c>
      <c r="M210" s="188">
        <v>0</v>
      </c>
      <c r="N210" s="188">
        <v>0</v>
      </c>
      <c r="O210" s="188">
        <v>0</v>
      </c>
      <c r="P210" s="188">
        <v>0</v>
      </c>
      <c r="Q210" s="188">
        <v>0</v>
      </c>
      <c r="R210" s="124"/>
      <c r="S210" s="124"/>
      <c r="T210" s="124"/>
      <c r="U210" s="124"/>
      <c r="V210" s="124"/>
      <c r="W210" s="125"/>
      <c r="X210" s="126"/>
      <c r="Y210" s="126"/>
      <c r="Z210" s="124"/>
      <c r="AA210" s="124"/>
      <c r="AB210" s="124"/>
      <c r="AC210" s="124"/>
      <c r="AD210" s="124"/>
      <c r="AE210" s="127"/>
    </row>
    <row r="211" spans="1:31" outlineLevel="1" x14ac:dyDescent="0.3">
      <c r="A211" s="78" t="s">
        <v>161</v>
      </c>
      <c r="B211" s="140" t="str">
        <f>CHOOSE(IF($B$1=2,2,1),'GAAP-IFRS'!E52,IF('Broker Actual'!E52="-",'GAAP-IFRS'!E52,'Broker Actual'!E52))</f>
        <v/>
      </c>
      <c r="C211" s="140" t="str">
        <f>CHOOSE(IF($B$1=2,2,1),'GAAP-IFRS'!F52,IF('Broker Actual'!F52="-",'GAAP-IFRS'!F52,'Broker Actual'!F52))</f>
        <v/>
      </c>
      <c r="D211" s="140" t="str">
        <f>CHOOSE(IF($B$1=2,2,1),'GAAP-IFRS'!G52,IF('Broker Actual'!G52="-",'GAAP-IFRS'!G52,'Broker Actual'!G52))</f>
        <v/>
      </c>
      <c r="E211" s="140" t="str">
        <f>CHOOSE(IF($B$1=2,2,1),'GAAP-IFRS'!H52,IF('Broker Actual'!H52="-",'GAAP-IFRS'!H52,'Broker Actual'!H52))</f>
        <v/>
      </c>
      <c r="F211" s="140" t="str">
        <f>CHOOSE(IF($B$1=2,2,1),'GAAP-IFRS'!I52,IF('Broker Actual'!I52="-",'GAAP-IFRS'!I52,'Broker Actual'!I52))</f>
        <v/>
      </c>
      <c r="G211" s="140" t="str">
        <f>CHOOSE(IF($B$1=2,2,1),'GAAP-IFRS'!J52,IF('Broker Actual'!J52="-",'GAAP-IFRS'!J52,'Broker Actual'!J52))</f>
        <v/>
      </c>
      <c r="H211" s="140" t="str">
        <f>CHOOSE(IF($B$1=2,2,1),'GAAP-IFRS'!K52,IF('Broker Actual'!K52="-",'GAAP-IFRS'!K52,'Broker Actual'!K52))</f>
        <v/>
      </c>
      <c r="I211" s="140" t="str">
        <f>CHOOSE(IF($B$1=2,2,1),'GAAP-IFRS'!L52,IF('Broker Actual'!L52="-",'GAAP-IFRS'!L52,'Broker Actual'!L52))</f>
        <v/>
      </c>
      <c r="J211" s="140" t="str">
        <f>CHOOSE(IF($B$1=2,2,1),'GAAP-IFRS'!M52,IF('Broker Actual'!M52="-",'GAAP-IFRS'!M52,'Broker Actual'!M52))</f>
        <v/>
      </c>
      <c r="K211" s="140" t="str">
        <f>CHOOSE(IF($B$1=2,2,1),'GAAP-IFRS'!N52,IF('Broker Actual'!N52="-",'GAAP-IFRS'!N52,'Broker Actual'!N52))</f>
        <v/>
      </c>
      <c r="L211" s="140" t="str">
        <f>CHOOSE(IF($B$1=2,2,1),'GAAP-IFRS'!O52,IF('Broker Actual'!O52="-",'GAAP-IFRS'!O52,'Broker Actual'!O52))</f>
        <v/>
      </c>
      <c r="M211" s="141">
        <f>M212*M$57</f>
        <v>0</v>
      </c>
      <c r="N211" s="141">
        <f t="shared" ref="N211:Q211" si="101">N212*N$57</f>
        <v>0</v>
      </c>
      <c r="O211" s="141">
        <f t="shared" si="101"/>
        <v>0</v>
      </c>
      <c r="P211" s="141">
        <f t="shared" si="101"/>
        <v>0</v>
      </c>
      <c r="Q211" s="141">
        <f t="shared" si="101"/>
        <v>0</v>
      </c>
      <c r="R211" s="124"/>
      <c r="S211" s="124"/>
      <c r="T211" s="124"/>
      <c r="U211" s="124"/>
      <c r="V211" s="124"/>
      <c r="W211" s="125"/>
      <c r="X211" s="126"/>
      <c r="Y211" s="126"/>
      <c r="Z211" s="124"/>
      <c r="AA211" s="124"/>
      <c r="AB211" s="124"/>
      <c r="AC211" s="124"/>
      <c r="AD211" s="124"/>
      <c r="AE211" s="127"/>
    </row>
    <row r="212" spans="1:31" outlineLevel="1" x14ac:dyDescent="0.3">
      <c r="A212" s="129" t="s">
        <v>137</v>
      </c>
      <c r="B212" s="130" t="str">
        <f>IFERROR(B211/B$57,"")</f>
        <v/>
      </c>
      <c r="C212" s="130" t="str">
        <f t="shared" ref="C212:L218" si="102">IFERROR(C211/C$57,"")</f>
        <v/>
      </c>
      <c r="D212" s="130" t="str">
        <f t="shared" si="102"/>
        <v/>
      </c>
      <c r="E212" s="130" t="str">
        <f t="shared" si="102"/>
        <v/>
      </c>
      <c r="F212" s="130" t="str">
        <f t="shared" si="102"/>
        <v/>
      </c>
      <c r="G212" s="130" t="str">
        <f t="shared" si="102"/>
        <v/>
      </c>
      <c r="H212" s="130" t="str">
        <f t="shared" si="102"/>
        <v/>
      </c>
      <c r="I212" s="130" t="str">
        <f t="shared" si="102"/>
        <v/>
      </c>
      <c r="J212" s="130" t="str">
        <f t="shared" si="102"/>
        <v/>
      </c>
      <c r="K212" s="130" t="str">
        <f t="shared" si="102"/>
        <v/>
      </c>
      <c r="L212" s="130" t="str">
        <f t="shared" si="102"/>
        <v/>
      </c>
      <c r="M212" s="188">
        <v>0</v>
      </c>
      <c r="N212" s="188">
        <v>0</v>
      </c>
      <c r="O212" s="188">
        <v>0</v>
      </c>
      <c r="P212" s="188">
        <v>0</v>
      </c>
      <c r="Q212" s="188">
        <v>0</v>
      </c>
      <c r="R212" s="124"/>
      <c r="S212" s="124"/>
      <c r="T212" s="124"/>
      <c r="U212" s="124"/>
      <c r="V212" s="124"/>
      <c r="W212" s="125"/>
      <c r="X212" s="126"/>
      <c r="Y212" s="126"/>
      <c r="Z212" s="124"/>
      <c r="AA212" s="124"/>
      <c r="AB212" s="124"/>
      <c r="AC212" s="124"/>
      <c r="AD212" s="124"/>
      <c r="AE212" s="127"/>
    </row>
    <row r="213" spans="1:31" outlineLevel="1" x14ac:dyDescent="0.3">
      <c r="A213" s="78" t="s">
        <v>162</v>
      </c>
      <c r="B213" s="140" t="str">
        <f>CHOOSE(IF($B$1=2,2,1),'GAAP-IFRS'!E53,IF('Broker Actual'!E53="-",'GAAP-IFRS'!E53,'Broker Actual'!E53))</f>
        <v/>
      </c>
      <c r="C213" s="140" t="str">
        <f>CHOOSE(IF($B$1=2,2,1),'GAAP-IFRS'!F53,IF('Broker Actual'!F53="-",'GAAP-IFRS'!F53,'Broker Actual'!F53))</f>
        <v/>
      </c>
      <c r="D213" s="140" t="str">
        <f>CHOOSE(IF($B$1=2,2,1),'GAAP-IFRS'!G53,IF('Broker Actual'!G53="-",'GAAP-IFRS'!G53,'Broker Actual'!G53))</f>
        <v/>
      </c>
      <c r="E213" s="140" t="str">
        <f>CHOOSE(IF($B$1=2,2,1),'GAAP-IFRS'!H53,IF('Broker Actual'!H53="-",'GAAP-IFRS'!H53,'Broker Actual'!H53))</f>
        <v/>
      </c>
      <c r="F213" s="140" t="str">
        <f>CHOOSE(IF($B$1=2,2,1),'GAAP-IFRS'!I53,IF('Broker Actual'!I53="-",'GAAP-IFRS'!I53,'Broker Actual'!I53))</f>
        <v/>
      </c>
      <c r="G213" s="140" t="str">
        <f>CHOOSE(IF($B$1=2,2,1),'GAAP-IFRS'!J53,IF('Broker Actual'!J53="-",'GAAP-IFRS'!J53,'Broker Actual'!J53))</f>
        <v/>
      </c>
      <c r="H213" s="140" t="str">
        <f>CHOOSE(IF($B$1=2,2,1),'GAAP-IFRS'!K53,IF('Broker Actual'!K53="-",'GAAP-IFRS'!K53,'Broker Actual'!K53))</f>
        <v/>
      </c>
      <c r="I213" s="140" t="str">
        <f>CHOOSE(IF($B$1=2,2,1),'GAAP-IFRS'!L53,IF('Broker Actual'!L53="-",'GAAP-IFRS'!L53,'Broker Actual'!L53))</f>
        <v/>
      </c>
      <c r="J213" s="140" t="str">
        <f>CHOOSE(IF($B$1=2,2,1),'GAAP-IFRS'!M53,IF('Broker Actual'!M53="-",'GAAP-IFRS'!M53,'Broker Actual'!M53))</f>
        <v/>
      </c>
      <c r="K213" s="140" t="str">
        <f>CHOOSE(IF($B$1=2,2,1),'GAAP-IFRS'!N53,IF('Broker Actual'!N53="-",'GAAP-IFRS'!N53,'Broker Actual'!N53))</f>
        <v/>
      </c>
      <c r="L213" s="140" t="str">
        <f>CHOOSE(IF($B$1=2,2,1),'GAAP-IFRS'!O53,IF('Broker Actual'!O53="-",'GAAP-IFRS'!O53,'Broker Actual'!O53))</f>
        <v/>
      </c>
      <c r="M213" s="141">
        <f>M214*M$57</f>
        <v>0</v>
      </c>
      <c r="N213" s="141">
        <f t="shared" ref="N213:Q213" si="103">N214*N$57</f>
        <v>0</v>
      </c>
      <c r="O213" s="141">
        <f t="shared" si="103"/>
        <v>0</v>
      </c>
      <c r="P213" s="141">
        <f t="shared" si="103"/>
        <v>0</v>
      </c>
      <c r="Q213" s="141">
        <f t="shared" si="103"/>
        <v>0</v>
      </c>
      <c r="R213" s="124"/>
      <c r="S213" s="124"/>
      <c r="T213" s="124"/>
      <c r="U213" s="124"/>
      <c r="V213" s="124"/>
      <c r="W213" s="125"/>
      <c r="X213" s="126"/>
      <c r="Y213" s="126"/>
      <c r="Z213" s="124"/>
      <c r="AA213" s="124"/>
      <c r="AB213" s="124"/>
      <c r="AC213" s="124"/>
      <c r="AD213" s="124"/>
      <c r="AE213" s="127"/>
    </row>
    <row r="214" spans="1:31" outlineLevel="1" x14ac:dyDescent="0.3">
      <c r="A214" s="129" t="s">
        <v>137</v>
      </c>
      <c r="B214" s="130" t="str">
        <f>IFERROR(B213/B$57,"")</f>
        <v/>
      </c>
      <c r="C214" s="130" t="str">
        <f t="shared" si="102"/>
        <v/>
      </c>
      <c r="D214" s="130" t="str">
        <f t="shared" si="102"/>
        <v/>
      </c>
      <c r="E214" s="130" t="str">
        <f t="shared" si="102"/>
        <v/>
      </c>
      <c r="F214" s="130" t="str">
        <f t="shared" si="102"/>
        <v/>
      </c>
      <c r="G214" s="130" t="str">
        <f t="shared" si="102"/>
        <v/>
      </c>
      <c r="H214" s="130" t="str">
        <f t="shared" si="102"/>
        <v/>
      </c>
      <c r="I214" s="130" t="str">
        <f t="shared" si="102"/>
        <v/>
      </c>
      <c r="J214" s="130" t="str">
        <f t="shared" si="102"/>
        <v/>
      </c>
      <c r="K214" s="130" t="str">
        <f t="shared" si="102"/>
        <v/>
      </c>
      <c r="L214" s="130" t="str">
        <f t="shared" si="102"/>
        <v/>
      </c>
      <c r="M214" s="188">
        <v>0</v>
      </c>
      <c r="N214" s="188">
        <v>0</v>
      </c>
      <c r="O214" s="188">
        <v>0</v>
      </c>
      <c r="P214" s="188">
        <v>0</v>
      </c>
      <c r="Q214" s="188">
        <v>0</v>
      </c>
      <c r="R214" s="124"/>
      <c r="S214" s="124"/>
      <c r="T214" s="124"/>
      <c r="U214" s="124"/>
      <c r="V214" s="124"/>
      <c r="W214" s="125"/>
      <c r="X214" s="126"/>
      <c r="Y214" s="126"/>
      <c r="Z214" s="124"/>
      <c r="AA214" s="124"/>
      <c r="AB214" s="124"/>
      <c r="AC214" s="124"/>
      <c r="AD214" s="124"/>
      <c r="AE214" s="127"/>
    </row>
    <row r="215" spans="1:31" outlineLevel="1" x14ac:dyDescent="0.3">
      <c r="A215" s="78" t="s">
        <v>163</v>
      </c>
      <c r="B215" s="140" t="str">
        <f>CHOOSE(IF($B$1=2,2,1),'GAAP-IFRS'!E54,IF('Broker Actual'!E54="-",'GAAP-IFRS'!E54,'Broker Actual'!E54))</f>
        <v/>
      </c>
      <c r="C215" s="140" t="str">
        <f>CHOOSE(IF($B$1=2,2,1),'GAAP-IFRS'!F54,IF('Broker Actual'!F54="-",'GAAP-IFRS'!F54,'Broker Actual'!F54))</f>
        <v/>
      </c>
      <c r="D215" s="140" t="str">
        <f>CHOOSE(IF($B$1=2,2,1),'GAAP-IFRS'!G54,IF('Broker Actual'!G54="-",'GAAP-IFRS'!G54,'Broker Actual'!G54))</f>
        <v/>
      </c>
      <c r="E215" s="140" t="str">
        <f>CHOOSE(IF($B$1=2,2,1),'GAAP-IFRS'!H54,IF('Broker Actual'!H54="-",'GAAP-IFRS'!H54,'Broker Actual'!H54))</f>
        <v/>
      </c>
      <c r="F215" s="140" t="str">
        <f>CHOOSE(IF($B$1=2,2,1),'GAAP-IFRS'!I54,IF('Broker Actual'!I54="-",'GAAP-IFRS'!I54,'Broker Actual'!I54))</f>
        <v/>
      </c>
      <c r="G215" s="140" t="str">
        <f>CHOOSE(IF($B$1=2,2,1),'GAAP-IFRS'!J54,IF('Broker Actual'!J54="-",'GAAP-IFRS'!J54,'Broker Actual'!J54))</f>
        <v/>
      </c>
      <c r="H215" s="140" t="str">
        <f>CHOOSE(IF($B$1=2,2,1),'GAAP-IFRS'!K54,IF('Broker Actual'!K54="-",'GAAP-IFRS'!K54,'Broker Actual'!K54))</f>
        <v/>
      </c>
      <c r="I215" s="140" t="str">
        <f>CHOOSE(IF($B$1=2,2,1),'GAAP-IFRS'!L54,IF('Broker Actual'!L54="-",'GAAP-IFRS'!L54,'Broker Actual'!L54))</f>
        <v/>
      </c>
      <c r="J215" s="140" t="str">
        <f>CHOOSE(IF($B$1=2,2,1),'GAAP-IFRS'!M54,IF('Broker Actual'!M54="-",'GAAP-IFRS'!M54,'Broker Actual'!M54))</f>
        <v/>
      </c>
      <c r="K215" s="140" t="str">
        <f>CHOOSE(IF($B$1=2,2,1),'GAAP-IFRS'!N54,IF('Broker Actual'!N54="-",'GAAP-IFRS'!N54,'Broker Actual'!N54))</f>
        <v/>
      </c>
      <c r="L215" s="140" t="str">
        <f>CHOOSE(IF($B$1=2,2,1),'GAAP-IFRS'!O54,IF('Broker Actual'!O54="-",'GAAP-IFRS'!O54,'Broker Actual'!O54))</f>
        <v/>
      </c>
      <c r="M215" s="141">
        <f>M216*M$57</f>
        <v>0</v>
      </c>
      <c r="N215" s="141">
        <f t="shared" ref="N215:Q215" si="104">N216*N$57</f>
        <v>0</v>
      </c>
      <c r="O215" s="141">
        <f t="shared" si="104"/>
        <v>0</v>
      </c>
      <c r="P215" s="141">
        <f t="shared" si="104"/>
        <v>0</v>
      </c>
      <c r="Q215" s="141">
        <f t="shared" si="104"/>
        <v>0</v>
      </c>
      <c r="R215" s="124"/>
      <c r="S215" s="124"/>
      <c r="T215" s="124"/>
      <c r="U215" s="124"/>
      <c r="V215" s="124"/>
      <c r="W215" s="125"/>
      <c r="X215" s="126"/>
      <c r="Y215" s="126"/>
      <c r="Z215" s="124"/>
      <c r="AA215" s="124"/>
      <c r="AB215" s="124"/>
      <c r="AC215" s="124"/>
      <c r="AD215" s="124"/>
      <c r="AE215" s="127"/>
    </row>
    <row r="216" spans="1:31" outlineLevel="1" x14ac:dyDescent="0.3">
      <c r="A216" s="129" t="s">
        <v>137</v>
      </c>
      <c r="B216" s="130" t="str">
        <f>IFERROR(B215/B$57,"")</f>
        <v/>
      </c>
      <c r="C216" s="130" t="str">
        <f t="shared" si="102"/>
        <v/>
      </c>
      <c r="D216" s="130" t="str">
        <f t="shared" si="102"/>
        <v/>
      </c>
      <c r="E216" s="130" t="str">
        <f t="shared" si="102"/>
        <v/>
      </c>
      <c r="F216" s="130" t="str">
        <f t="shared" si="102"/>
        <v/>
      </c>
      <c r="G216" s="130" t="str">
        <f t="shared" si="102"/>
        <v/>
      </c>
      <c r="H216" s="130" t="str">
        <f t="shared" si="102"/>
        <v/>
      </c>
      <c r="I216" s="130" t="str">
        <f t="shared" si="102"/>
        <v/>
      </c>
      <c r="J216" s="130" t="str">
        <f t="shared" si="102"/>
        <v/>
      </c>
      <c r="K216" s="130" t="str">
        <f t="shared" si="102"/>
        <v/>
      </c>
      <c r="L216" s="130" t="str">
        <f t="shared" si="102"/>
        <v/>
      </c>
      <c r="M216" s="188">
        <v>0</v>
      </c>
      <c r="N216" s="188">
        <v>0</v>
      </c>
      <c r="O216" s="188">
        <v>0</v>
      </c>
      <c r="P216" s="188">
        <v>0</v>
      </c>
      <c r="Q216" s="188">
        <v>0</v>
      </c>
      <c r="R216" s="124"/>
      <c r="S216" s="124"/>
      <c r="T216" s="124"/>
      <c r="U216" s="124"/>
      <c r="V216" s="124"/>
      <c r="W216" s="125"/>
      <c r="X216" s="126"/>
      <c r="Y216" s="126"/>
      <c r="Z216" s="124"/>
      <c r="AA216" s="124"/>
      <c r="AB216" s="124"/>
      <c r="AC216" s="124"/>
      <c r="AD216" s="124"/>
      <c r="AE216" s="127"/>
    </row>
    <row r="217" spans="1:31" outlineLevel="1" x14ac:dyDescent="0.3">
      <c r="A217" s="78" t="s">
        <v>164</v>
      </c>
      <c r="B217" s="140">
        <f>CHOOSE(IF($B$1=2,2,1),'GAAP-IFRS'!E55,IF('Broker Actual'!E55="-",'GAAP-IFRS'!E55,'Broker Actual'!E55))</f>
        <v>76.031999999999996</v>
      </c>
      <c r="C217" s="140">
        <f>CHOOSE(IF($B$1=2,2,1),'GAAP-IFRS'!F55,IF('Broker Actual'!F55="-",'GAAP-IFRS'!F55,'Broker Actual'!F55))</f>
        <v>-18.466000000000001</v>
      </c>
      <c r="D217" s="140">
        <f>CHOOSE(IF($B$1=2,2,1),'GAAP-IFRS'!G55,IF('Broker Actual'!G55="-",'GAAP-IFRS'!G55,'Broker Actual'!G55))</f>
        <v>21.529</v>
      </c>
      <c r="E217" s="140">
        <f>CHOOSE(IF($B$1=2,2,1),'GAAP-IFRS'!H55,IF('Broker Actual'!H55="-",'GAAP-IFRS'!H55,'Broker Actual'!H55))</f>
        <v>-39.213999999999999</v>
      </c>
      <c r="F217" s="140">
        <f>CHOOSE(IF($B$1=2,2,1),'GAAP-IFRS'!I55,IF('Broker Actual'!I55="-",'GAAP-IFRS'!I55,'Broker Actual'!I55))</f>
        <v>55.042999999999999</v>
      </c>
      <c r="G217" s="140">
        <f>CHOOSE(IF($B$1=2,2,1),'GAAP-IFRS'!J55,IF('Broker Actual'!J55="-",'GAAP-IFRS'!J55,'Broker Actual'!J55))</f>
        <v>16.053999999999998</v>
      </c>
      <c r="H217" s="140">
        <f>CHOOSE(IF($B$1=2,2,1),'GAAP-IFRS'!K55,IF('Broker Actual'!K55="-",'GAAP-IFRS'!K55,'Broker Actual'!K55))</f>
        <v>-7.6449999999999996</v>
      </c>
      <c r="I217" s="140">
        <f>CHOOSE(IF($B$1=2,2,1),'GAAP-IFRS'!L55,IF('Broker Actual'!L55="-",'GAAP-IFRS'!L55,'Broker Actual'!L55))</f>
        <v>14.125</v>
      </c>
      <c r="J217" s="140">
        <f>CHOOSE(IF($B$1=2,2,1),'GAAP-IFRS'!M55,IF('Broker Actual'!M55="-",'GAAP-IFRS'!M55,'Broker Actual'!M55))</f>
        <v>60.04</v>
      </c>
      <c r="K217" s="140">
        <f>CHOOSE(IF($B$1=2,2,1),'GAAP-IFRS'!N55,IF('Broker Actual'!N55="-",'GAAP-IFRS'!N55,'Broker Actual'!N55))</f>
        <v>76.244</v>
      </c>
      <c r="L217" s="140">
        <f>CHOOSE(IF($B$1=2,2,1),'GAAP-IFRS'!O55,IF('Broker Actual'!O55="-",'GAAP-IFRS'!O55,'Broker Actual'!O55))</f>
        <v>49.13</v>
      </c>
      <c r="M217" s="141">
        <f>M218*M$57</f>
        <v>55.868019701186796</v>
      </c>
      <c r="N217" s="141">
        <f t="shared" ref="N217:Q217" si="105">N218*N$57</f>
        <v>72.270785054600765</v>
      </c>
      <c r="O217" s="141">
        <f t="shared" si="105"/>
        <v>75.505607846947697</v>
      </c>
      <c r="P217" s="141">
        <f t="shared" si="105"/>
        <v>81.64036297513799</v>
      </c>
      <c r="Q217" s="141">
        <f t="shared" si="105"/>
        <v>89.615514438035731</v>
      </c>
      <c r="R217" s="124"/>
      <c r="S217" s="124"/>
      <c r="T217" s="124"/>
      <c r="U217" s="124"/>
      <c r="V217" s="124"/>
      <c r="W217" s="125"/>
      <c r="X217" s="126"/>
      <c r="Y217" s="126"/>
      <c r="Z217" s="124"/>
      <c r="AA217" s="124"/>
      <c r="AB217" s="124"/>
      <c r="AC217" s="124"/>
      <c r="AD217" s="124"/>
      <c r="AE217" s="127"/>
    </row>
    <row r="218" spans="1:31" outlineLevel="1" x14ac:dyDescent="0.3">
      <c r="A218" s="129" t="s">
        <v>137</v>
      </c>
      <c r="B218" s="130">
        <f>IFERROR(B217/B$57,"")</f>
        <v>0.32546969911004375</v>
      </c>
      <c r="C218" s="130">
        <f t="shared" si="102"/>
        <v>-7.659443854526149E-2</v>
      </c>
      <c r="D218" s="130">
        <f t="shared" si="102"/>
        <v>8.0903242292602998E-2</v>
      </c>
      <c r="E218" s="130">
        <f t="shared" si="102"/>
        <v>-0.13713490376007162</v>
      </c>
      <c r="F218" s="130">
        <f t="shared" si="102"/>
        <v>0.20814457393948099</v>
      </c>
      <c r="G218" s="130">
        <f t="shared" si="102"/>
        <v>6.5685785128024671E-2</v>
      </c>
      <c r="H218" s="130">
        <f t="shared" si="102"/>
        <v>-3.3053456237137471E-2</v>
      </c>
      <c r="I218" s="130">
        <f t="shared" si="102"/>
        <v>5.8253668434553811E-2</v>
      </c>
      <c r="J218" s="130">
        <f t="shared" si="102"/>
        <v>0.19340478100226455</v>
      </c>
      <c r="K218" s="130">
        <f t="shared" si="102"/>
        <v>0.18691148891313139</v>
      </c>
      <c r="L218" s="130">
        <f t="shared" si="102"/>
        <v>9.8345954364114238E-2</v>
      </c>
      <c r="M218" s="188">
        <f>AVERAGE(H218:L218)</f>
        <v>0.10077248729538531</v>
      </c>
      <c r="N218" s="188">
        <f t="shared" ref="N218:Q218" si="106">M218</f>
        <v>0.10077248729538531</v>
      </c>
      <c r="O218" s="188">
        <f t="shared" si="106"/>
        <v>0.10077248729538531</v>
      </c>
      <c r="P218" s="188">
        <f t="shared" si="106"/>
        <v>0.10077248729538531</v>
      </c>
      <c r="Q218" s="188">
        <f t="shared" si="106"/>
        <v>0.10077248729538531</v>
      </c>
      <c r="R218" s="124"/>
      <c r="S218" s="124"/>
      <c r="T218" s="124"/>
      <c r="U218" s="124"/>
      <c r="V218" s="124"/>
      <c r="W218" s="125"/>
      <c r="X218" s="126"/>
      <c r="Y218" s="126"/>
      <c r="Z218" s="124"/>
      <c r="AA218" s="124"/>
      <c r="AB218" s="124"/>
      <c r="AC218" s="124"/>
      <c r="AD218" s="124"/>
      <c r="AE218" s="127"/>
    </row>
    <row r="219" spans="1:31" s="118" customFormat="1" outlineLevel="1" x14ac:dyDescent="0.3">
      <c r="A219" s="118" t="s">
        <v>165</v>
      </c>
      <c r="B219" s="155">
        <f>CHOOSE(IF($B$1=2,2,1),'GAAP-IFRS'!E56,IF('Broker Actual'!E56="-",'GAAP-IFRS'!E56,'Broker Actual'!E56))</f>
        <v>106.26600000000001</v>
      </c>
      <c r="C219" s="155">
        <f>CHOOSE(IF($B$1=2,2,1),'GAAP-IFRS'!F56,IF('Broker Actual'!F56="-",'GAAP-IFRS'!F56,'Broker Actual'!F56))</f>
        <v>55.472000000000001</v>
      </c>
      <c r="D219" s="155">
        <f>CHOOSE(IF($B$1=2,2,1),'GAAP-IFRS'!G56,IF('Broker Actual'!G56="-",'GAAP-IFRS'!G56,'Broker Actual'!G56))</f>
        <v>89.414000000000001</v>
      </c>
      <c r="E219" s="155">
        <f>CHOOSE(IF($B$1=2,2,1),'GAAP-IFRS'!H56,IF('Broker Actual'!H56="-",'GAAP-IFRS'!H56,'Broker Actual'!H56))</f>
        <v>46.029000000000003</v>
      </c>
      <c r="F219" s="155">
        <f>CHOOSE(IF($B$1=2,2,1),'GAAP-IFRS'!I56,IF('Broker Actual'!I56="-",'GAAP-IFRS'!I56,'Broker Actual'!I56))</f>
        <v>88.721999999999994</v>
      </c>
      <c r="G219" s="155">
        <f>CHOOSE(IF($B$1=2,2,1),'GAAP-IFRS'!J56,IF('Broker Actual'!J56="-",'GAAP-IFRS'!J56,'Broker Actual'!J56))</f>
        <v>29.673999999999999</v>
      </c>
      <c r="H219" s="155">
        <f>CHOOSE(IF($B$1=2,2,1),'GAAP-IFRS'!K56,IF('Broker Actual'!K56="-",'GAAP-IFRS'!K56,'Broker Actual'!K56))</f>
        <v>30.414999999999999</v>
      </c>
      <c r="I219" s="155">
        <f>CHOOSE(IF($B$1=2,2,1),'GAAP-IFRS'!L56,IF('Broker Actual'!L56="-",'GAAP-IFRS'!L56,'Broker Actual'!L56))</f>
        <v>56.473999999999997</v>
      </c>
      <c r="J219" s="155">
        <f>CHOOSE(IF($B$1=2,2,1),'GAAP-IFRS'!M56,IF('Broker Actual'!M56="-",'GAAP-IFRS'!M56,'Broker Actual'!M56))</f>
        <v>79.703000000000003</v>
      </c>
      <c r="K219" s="155">
        <f>CHOOSE(IF($B$1=2,2,1),'GAAP-IFRS'!N56,IF('Broker Actual'!N56="-",'GAAP-IFRS'!N56,'Broker Actual'!N56))</f>
        <v>102.089</v>
      </c>
      <c r="L219" s="155">
        <f>CHOOSE(IF($B$1=2,2,1),'GAAP-IFRS'!O56,IF('Broker Actual'!O56="-",'GAAP-IFRS'!O56,'Broker Actual'!O56))</f>
        <v>5.7750000000000101</v>
      </c>
      <c r="M219" s="156">
        <f>SUM(M208,M209,M211,M213,M215,M217)</f>
        <v>89.75193473554279</v>
      </c>
      <c r="N219" s="156">
        <f t="shared" ref="N219:Q219" si="107">SUM(N208,N209,N211,N213,N215,N217)</f>
        <v>124.3632948968625</v>
      </c>
      <c r="O219" s="156">
        <f t="shared" si="107"/>
        <v>130.75172439132254</v>
      </c>
      <c r="P219" s="156">
        <f t="shared" si="107"/>
        <v>143.01297913233887</v>
      </c>
      <c r="Q219" s="156">
        <f t="shared" si="107"/>
        <v>157.29235908944418</v>
      </c>
      <c r="R219" s="157"/>
      <c r="S219" s="157"/>
      <c r="T219" s="157"/>
      <c r="U219" s="157"/>
      <c r="V219" s="157"/>
      <c r="W219" s="158"/>
      <c r="X219" s="159" t="s">
        <v>91</v>
      </c>
      <c r="Y219" s="159" t="s">
        <v>166</v>
      </c>
      <c r="Z219" s="157" t="str" cm="1">
        <f t="array" ref="Z219">_xll.FDSC("--",$A$1,""&amp;$X219&amp;"("&amp;$Y219&amp;","&amp;D$2&amp;",ANNUAL_ROLL,+1,0,,,'CURRENCY="&amp;$E$1&amp;"')")</f>
        <v>--</v>
      </c>
      <c r="AA219" s="157" t="str" cm="1">
        <f t="array" ref="AA219">_xll.FDSC("--",$A$1,""&amp;$X219&amp;"("&amp;$Y219&amp;","&amp;D$2&amp;",ANNUAL_ROLL,+2,0,,,'CURRENCY="&amp;$E$1&amp;"')")</f>
        <v>--</v>
      </c>
      <c r="AB219" s="157" t="str" cm="1">
        <f t="array" ref="AB219">_xll.FDSC("--",$A$1,""&amp;$X219&amp;"("&amp;$Y219&amp;","&amp;D$2&amp;",ANNUAL_ROLL,+3,0,,,'CURRENCY="&amp;$E$1&amp;"')")</f>
        <v>--</v>
      </c>
      <c r="AC219" s="157"/>
      <c r="AD219" s="157" cm="1">
        <f t="array" ref="AD219">_xll.FDSC("--",$A$1,"FF_OPER_CF(LTM_R,0,,,,"&amp;$E$1&amp;")@FF_OPER_CF(LTM_SEMI_R,0,,,,"&amp;$E$1&amp;")")</f>
        <v>-9.5960000000000001</v>
      </c>
      <c r="AE219" s="160"/>
    </row>
    <row r="220" spans="1:31" s="118" customFormat="1" outlineLevel="1" x14ac:dyDescent="0.3">
      <c r="B220" s="155"/>
      <c r="C220" s="155"/>
      <c r="D220" s="155"/>
      <c r="E220" s="155"/>
      <c r="F220" s="155"/>
      <c r="G220" s="155"/>
      <c r="H220" s="155"/>
      <c r="I220" s="155"/>
      <c r="J220" s="155"/>
      <c r="K220" s="155"/>
      <c r="L220" s="155"/>
      <c r="M220" s="157"/>
      <c r="N220" s="157"/>
      <c r="O220" s="157"/>
      <c r="P220" s="157"/>
      <c r="Q220" s="157"/>
      <c r="R220" s="157"/>
      <c r="S220" s="157"/>
      <c r="T220" s="157"/>
      <c r="U220" s="157"/>
      <c r="V220" s="157"/>
      <c r="W220" s="158"/>
      <c r="X220" s="159"/>
      <c r="Y220" s="159"/>
      <c r="Z220" s="157"/>
      <c r="AA220" s="157"/>
      <c r="AB220" s="157"/>
      <c r="AC220" s="157"/>
      <c r="AD220" s="157"/>
      <c r="AE220" s="160"/>
    </row>
    <row r="221" spans="1:31" outlineLevel="1" x14ac:dyDescent="0.3">
      <c r="A221" s="42" t="s">
        <v>167</v>
      </c>
      <c r="B221" s="140"/>
      <c r="C221" s="140"/>
      <c r="D221" s="140"/>
      <c r="E221" s="140"/>
      <c r="F221" s="140"/>
      <c r="G221" s="140"/>
      <c r="H221" s="140"/>
      <c r="I221" s="140"/>
      <c r="J221" s="140"/>
      <c r="K221" s="140"/>
      <c r="L221" s="140"/>
      <c r="M221" s="124"/>
      <c r="N221" s="124"/>
      <c r="O221" s="124"/>
      <c r="P221" s="124"/>
      <c r="Q221" s="124"/>
      <c r="R221" s="124"/>
      <c r="S221" s="124"/>
      <c r="T221" s="124"/>
      <c r="U221" s="124"/>
      <c r="V221" s="124"/>
      <c r="W221" s="190"/>
      <c r="X221" s="126"/>
      <c r="Y221" s="126"/>
      <c r="Z221" s="124"/>
      <c r="AA221" s="124"/>
      <c r="AB221" s="124"/>
      <c r="AC221" s="124"/>
      <c r="AD221" s="124"/>
      <c r="AE221" s="127"/>
    </row>
    <row r="222" spans="1:31" outlineLevel="1" x14ac:dyDescent="0.3">
      <c r="A222" s="182" t="s">
        <v>168</v>
      </c>
      <c r="B222" s="140">
        <f>'GAAP-IFRS'!E59</f>
        <v>-1.196</v>
      </c>
      <c r="C222" s="140">
        <f>'GAAP-IFRS'!F59</f>
        <v>-3.4329999999999998</v>
      </c>
      <c r="D222" s="140">
        <f>'GAAP-IFRS'!G59</f>
        <v>-0.45300000000000001</v>
      </c>
      <c r="E222" s="140">
        <f>'GAAP-IFRS'!H59</f>
        <v>-0.84</v>
      </c>
      <c r="F222" s="140">
        <f>'GAAP-IFRS'!I59</f>
        <v>-0.86499999999999999</v>
      </c>
      <c r="G222" s="140">
        <f>'GAAP-IFRS'!J59</f>
        <v>-2.9769999999999999</v>
      </c>
      <c r="H222" s="140">
        <f>'GAAP-IFRS'!K59</f>
        <v>-2.5960000000000001</v>
      </c>
      <c r="I222" s="140">
        <f>'GAAP-IFRS'!L59</f>
        <v>-2.887</v>
      </c>
      <c r="J222" s="140">
        <f>'GAAP-IFRS'!M59</f>
        <v>-6.4370000000000003</v>
      </c>
      <c r="K222" s="140">
        <f>'GAAP-IFRS'!N59</f>
        <v>-3.3180000000000001</v>
      </c>
      <c r="L222" s="140">
        <f>'GAAP-IFRS'!O59</f>
        <v>-10.141</v>
      </c>
      <c r="M222" s="141">
        <f>M223*M$57</f>
        <v>-8.0165235699508681</v>
      </c>
      <c r="N222" s="141">
        <f t="shared" ref="N222:Q222" si="108">N223*N$57</f>
        <v>-10.370162660280451</v>
      </c>
      <c r="O222" s="141">
        <f t="shared" si="108"/>
        <v>-10.834328623172324</v>
      </c>
      <c r="P222" s="141">
        <f t="shared" si="108"/>
        <v>-11.714606988936017</v>
      </c>
      <c r="Q222" s="141">
        <f t="shared" si="108"/>
        <v>-12.858964530481199</v>
      </c>
      <c r="R222" s="124"/>
      <c r="S222" s="124"/>
      <c r="T222" s="124"/>
      <c r="U222" s="124"/>
      <c r="V222" s="124"/>
      <c r="W222" s="125"/>
      <c r="X222" s="126" t="s">
        <v>91</v>
      </c>
      <c r="Y222" s="126" t="s">
        <v>169</v>
      </c>
      <c r="Z222" s="124" t="str" cm="1">
        <f t="array" ref="Z222">_xll.FDSC("--",$A$1,""&amp;$X222&amp;"("&amp;$Y222&amp;","&amp;D$2&amp;",ANNUAL_ROLL,+1,0,,,'CURRENCY="&amp;$E$1&amp;"')")</f>
        <v>--</v>
      </c>
      <c r="AA222" s="124" t="str" cm="1">
        <f t="array" ref="AA222">_xll.FDSC("--",$A$1,""&amp;$X222&amp;"("&amp;$Y222&amp;","&amp;D$2&amp;",ANNUAL_ROLL,+2,0,,,'CURRENCY="&amp;$E$1&amp;"')")</f>
        <v>--</v>
      </c>
      <c r="AB222" s="124" t="str" cm="1">
        <f t="array" ref="AB222">_xll.FDSC("--",$A$1,""&amp;$X222&amp;"("&amp;$Y222&amp;","&amp;D$2&amp;",ANNUAL_ROLL,+3,0,,,'CURRENCY="&amp;$E$1&amp;"')")</f>
        <v>--</v>
      </c>
      <c r="AC222" s="124"/>
      <c r="AD222" s="124" cm="1">
        <f t="array" ref="AD222">_xll.FDSC("--",$A$1,"FF_CAPEX_FIX(LTM_R,0,,,,"&amp;$E$1&amp;")@FF_CAPEX_FIX(LTM_SEMI_R,0,,,,"&amp;$E$1&amp;")")</f>
        <v>4.8739999999999997</v>
      </c>
      <c r="AE222" s="127"/>
    </row>
    <row r="223" spans="1:31" outlineLevel="1" x14ac:dyDescent="0.3">
      <c r="A223" s="129" t="s">
        <v>137</v>
      </c>
      <c r="B223" s="130">
        <f>IFERROR(B222/B$57,"")</f>
        <v>-5.1197095977432178E-3</v>
      </c>
      <c r="C223" s="130">
        <f t="shared" ref="C223:L223" si="109">IFERROR(C222/C$57,"")</f>
        <v>-1.4239613750995486E-2</v>
      </c>
      <c r="D223" s="130">
        <f t="shared" si="109"/>
        <v>-1.7023163527590303E-3</v>
      </c>
      <c r="E223" s="130">
        <f t="shared" si="109"/>
        <v>-2.9375559534467323E-3</v>
      </c>
      <c r="F223" s="130">
        <f t="shared" si="109"/>
        <v>-3.2709891622486249E-3</v>
      </c>
      <c r="G223" s="130">
        <f t="shared" si="109"/>
        <v>-1.2180552032274167E-2</v>
      </c>
      <c r="H223" s="130">
        <f t="shared" si="109"/>
        <v>-1.1223907441675458E-2</v>
      </c>
      <c r="I223" s="130">
        <f t="shared" si="109"/>
        <v>-1.1906431204995176E-2</v>
      </c>
      <c r="J223" s="130">
        <f t="shared" si="109"/>
        <v>-2.0735286064483292E-2</v>
      </c>
      <c r="K223" s="130">
        <f t="shared" si="109"/>
        <v>-8.1340475344128058E-3</v>
      </c>
      <c r="L223" s="130">
        <f t="shared" si="109"/>
        <v>-2.02997419744857E-2</v>
      </c>
      <c r="M223" s="188">
        <f>AVERAGE(H223:L223)</f>
        <v>-1.4459882844010485E-2</v>
      </c>
      <c r="N223" s="188">
        <f t="shared" ref="N223:Q223" si="110">M223</f>
        <v>-1.4459882844010485E-2</v>
      </c>
      <c r="O223" s="188">
        <f t="shared" si="110"/>
        <v>-1.4459882844010485E-2</v>
      </c>
      <c r="P223" s="188">
        <f t="shared" si="110"/>
        <v>-1.4459882844010485E-2</v>
      </c>
      <c r="Q223" s="188">
        <f t="shared" si="110"/>
        <v>-1.4459882844010485E-2</v>
      </c>
      <c r="R223" s="124"/>
      <c r="S223" s="124"/>
      <c r="T223" s="124"/>
      <c r="U223" s="124"/>
      <c r="V223" s="124"/>
      <c r="W223" s="125"/>
      <c r="X223" s="126"/>
      <c r="Y223" s="126"/>
      <c r="Z223" s="124"/>
      <c r="AA223" s="124"/>
      <c r="AB223" s="124"/>
      <c r="AC223" s="124"/>
      <c r="AD223" s="124"/>
      <c r="AE223" s="127"/>
    </row>
    <row r="224" spans="1:31" outlineLevel="1" x14ac:dyDescent="0.3">
      <c r="A224" s="45" t="s">
        <v>170</v>
      </c>
      <c r="B224" s="140">
        <f>CHOOSE(IF($B$1=2,2,1),'GAAP-IFRS'!E60,IF('Broker Actual'!E60="-",'GAAP-IFRS'!E60,'Broker Actual'!E60))</f>
        <v>-8.157</v>
      </c>
      <c r="C224" s="140">
        <f>CHOOSE(IF($B$1=2,2,1),'GAAP-IFRS'!F60,IF('Broker Actual'!F60="-",'GAAP-IFRS'!F60,'Broker Actual'!F60))</f>
        <v>0</v>
      </c>
      <c r="D224" s="140">
        <f>CHOOSE(IF($B$1=2,2,1),'GAAP-IFRS'!G60,IF('Broker Actual'!G60="-",'GAAP-IFRS'!G60,'Broker Actual'!G60))</f>
        <v>0</v>
      </c>
      <c r="E224" s="140">
        <f>CHOOSE(IF($B$1=2,2,1),'GAAP-IFRS'!H60,IF('Broker Actual'!H60="-",'GAAP-IFRS'!H60,'Broker Actual'!H60))</f>
        <v>0</v>
      </c>
      <c r="F224" s="140">
        <f>CHOOSE(IF($B$1=2,2,1),'GAAP-IFRS'!I60,IF('Broker Actual'!I60="-",'GAAP-IFRS'!I60,'Broker Actual'!I60))</f>
        <v>-13.715</v>
      </c>
      <c r="G224" s="140">
        <f>CHOOSE(IF($B$1=2,2,1),'GAAP-IFRS'!J60,IF('Broker Actual'!J60="-",'GAAP-IFRS'!J60,'Broker Actual'!J60))</f>
        <v>0</v>
      </c>
      <c r="H224" s="140">
        <f>CHOOSE(IF($B$1=2,2,1),'GAAP-IFRS'!K60,IF('Broker Actual'!K60="-",'GAAP-IFRS'!K60,'Broker Actual'!K60))</f>
        <v>-0.53900000000000003</v>
      </c>
      <c r="I224" s="140">
        <f>CHOOSE(IF($B$1=2,2,1),'GAAP-IFRS'!L60,IF('Broker Actual'!L60="-",'GAAP-IFRS'!L60,'Broker Actual'!L60))</f>
        <v>0</v>
      </c>
      <c r="J224" s="140">
        <f>CHOOSE(IF($B$1=2,2,1),'GAAP-IFRS'!M60,IF('Broker Actual'!M60="-",'GAAP-IFRS'!M60,'Broker Actual'!M60))</f>
        <v>0</v>
      </c>
      <c r="K224" s="140">
        <f>CHOOSE(IF($B$1=2,2,1),'GAAP-IFRS'!N60,IF('Broker Actual'!N60="-",'GAAP-IFRS'!N60,'Broker Actual'!N60))</f>
        <v>-6.3170000000000002</v>
      </c>
      <c r="L224" s="140">
        <f>CHOOSE(IF($B$1=2,2,1),'GAAP-IFRS'!O60,IF('Broker Actual'!O60="-",'GAAP-IFRS'!O60,'Broker Actual'!O60))</f>
        <v>-0.40600000000000003</v>
      </c>
      <c r="M224" s="213">
        <v>0</v>
      </c>
      <c r="N224" s="213">
        <v>0</v>
      </c>
      <c r="O224" s="213">
        <v>0</v>
      </c>
      <c r="P224" s="213">
        <v>0</v>
      </c>
      <c r="Q224" s="213">
        <v>0</v>
      </c>
      <c r="R224" s="124"/>
      <c r="S224" s="124"/>
      <c r="T224" s="124"/>
      <c r="U224" s="124"/>
      <c r="V224" s="124"/>
      <c r="W224" s="125"/>
      <c r="X224" s="126"/>
      <c r="Y224" s="126"/>
      <c r="Z224" s="124"/>
      <c r="AA224" s="124"/>
      <c r="AB224" s="124"/>
      <c r="AC224" s="124"/>
      <c r="AD224" s="124"/>
      <c r="AE224" s="127"/>
    </row>
    <row r="225" spans="1:31" outlineLevel="1" x14ac:dyDescent="0.3">
      <c r="A225" s="45" t="s">
        <v>171</v>
      </c>
      <c r="B225" s="140">
        <f>CHOOSE(IF($B$1=2,2,1),'GAAP-IFRS'!E61,IF('Broker Actual'!E61="-",'GAAP-IFRS'!E61,'Broker Actual'!E61))</f>
        <v>0</v>
      </c>
      <c r="C225" s="140">
        <f>CHOOSE(IF($B$1=2,2,1),'GAAP-IFRS'!F61,IF('Broker Actual'!F61="-",'GAAP-IFRS'!F61,'Broker Actual'!F61))</f>
        <v>1E-3</v>
      </c>
      <c r="D225" s="140">
        <f>CHOOSE(IF($B$1=2,2,1),'GAAP-IFRS'!G61,IF('Broker Actual'!G61="-",'GAAP-IFRS'!G61,'Broker Actual'!G61))</f>
        <v>0</v>
      </c>
      <c r="E225" s="140">
        <f>CHOOSE(IF($B$1=2,2,1),'GAAP-IFRS'!H61,IF('Broker Actual'!H61="-",'GAAP-IFRS'!H61,'Broker Actual'!H61))</f>
        <v>0</v>
      </c>
      <c r="F225" s="140">
        <f>CHOOSE(IF($B$1=2,2,1),'GAAP-IFRS'!I61,IF('Broker Actual'!I61="-",'GAAP-IFRS'!I61,'Broker Actual'!I61))</f>
        <v>0</v>
      </c>
      <c r="G225" s="140">
        <f>CHOOSE(IF($B$1=2,2,1),'GAAP-IFRS'!J61,IF('Broker Actual'!J61="-",'GAAP-IFRS'!J61,'Broker Actual'!J61))</f>
        <v>0</v>
      </c>
      <c r="H225" s="140">
        <f>CHOOSE(IF($B$1=2,2,1),'GAAP-IFRS'!K61,IF('Broker Actual'!K61="-",'GAAP-IFRS'!K61,'Broker Actual'!K61))</f>
        <v>0</v>
      </c>
      <c r="I225" s="140">
        <f>CHOOSE(IF($B$1=2,2,1),'GAAP-IFRS'!L61,IF('Broker Actual'!L61="-",'GAAP-IFRS'!L61,'Broker Actual'!L61))</f>
        <v>0</v>
      </c>
      <c r="J225" s="140">
        <f>CHOOSE(IF($B$1=2,2,1),'GAAP-IFRS'!M61,IF('Broker Actual'!M61="-",'GAAP-IFRS'!M61,'Broker Actual'!M61))</f>
        <v>0</v>
      </c>
      <c r="K225" s="140">
        <f>CHOOSE(IF($B$1=2,2,1),'GAAP-IFRS'!N61,IF('Broker Actual'!N61="-",'GAAP-IFRS'!N61,'Broker Actual'!N61))</f>
        <v>100</v>
      </c>
      <c r="L225" s="140">
        <f>CHOOSE(IF($B$1=2,2,1),'GAAP-IFRS'!O61,IF('Broker Actual'!O61="-",'GAAP-IFRS'!O61,'Broker Actual'!O61))</f>
        <v>0</v>
      </c>
      <c r="M225" s="148">
        <v>0</v>
      </c>
      <c r="N225" s="148">
        <v>0</v>
      </c>
      <c r="O225" s="148">
        <v>0</v>
      </c>
      <c r="P225" s="148">
        <v>0</v>
      </c>
      <c r="Q225" s="148">
        <v>0</v>
      </c>
      <c r="R225" s="124"/>
      <c r="S225" s="124"/>
      <c r="T225" s="124"/>
      <c r="U225" s="124"/>
      <c r="V225" s="124"/>
      <c r="W225" s="125"/>
      <c r="X225" s="126"/>
      <c r="Y225" s="126"/>
      <c r="Z225" s="124"/>
      <c r="AA225" s="124"/>
      <c r="AB225" s="124"/>
      <c r="AC225" s="124"/>
      <c r="AD225" s="124"/>
      <c r="AE225" s="127"/>
    </row>
    <row r="226" spans="1:31" outlineLevel="1" x14ac:dyDescent="0.3">
      <c r="A226" s="46" t="s">
        <v>172</v>
      </c>
      <c r="B226" s="140"/>
      <c r="C226" s="140"/>
      <c r="D226" s="140"/>
      <c r="E226" s="140"/>
      <c r="F226" s="140"/>
      <c r="G226" s="140"/>
      <c r="H226" s="140"/>
      <c r="I226" s="140"/>
      <c r="J226" s="140"/>
      <c r="K226" s="140"/>
      <c r="L226" s="140"/>
      <c r="M226" s="124"/>
      <c r="N226" s="124"/>
      <c r="O226" s="124"/>
      <c r="P226" s="124"/>
      <c r="Q226" s="124"/>
      <c r="R226" s="124"/>
      <c r="S226" s="124"/>
      <c r="T226" s="124"/>
      <c r="U226" s="124"/>
      <c r="V226" s="124"/>
      <c r="W226" s="125"/>
      <c r="X226" s="126"/>
      <c r="Y226" s="126"/>
      <c r="Z226" s="124"/>
      <c r="AA226" s="124"/>
      <c r="AB226" s="124"/>
      <c r="AC226" s="124"/>
      <c r="AD226" s="124"/>
      <c r="AE226" s="127"/>
    </row>
    <row r="227" spans="1:31" outlineLevel="1" x14ac:dyDescent="0.3">
      <c r="A227" s="195" t="s">
        <v>173</v>
      </c>
      <c r="B227" s="140">
        <f>CHOOSE(IF($B$1=2,2,1),'GAAP-IFRS'!E63,IF('Broker Actual'!E63="-",'GAAP-IFRS'!E63,'Broker Actual'!E63))</f>
        <v>-18.138000000000002</v>
      </c>
      <c r="C227" s="140">
        <f>CHOOSE(IF($B$1=2,2,1),'GAAP-IFRS'!F63,IF('Broker Actual'!F63="-",'GAAP-IFRS'!F63,'Broker Actual'!F63))</f>
        <v>-94.78</v>
      </c>
      <c r="D227" s="140">
        <f>CHOOSE(IF($B$1=2,2,1),'GAAP-IFRS'!G63,IF('Broker Actual'!G63="-",'GAAP-IFRS'!G63,'Broker Actual'!G63))</f>
        <v>-137.97800000000001</v>
      </c>
      <c r="E227" s="140">
        <f>CHOOSE(IF($B$1=2,2,1),'GAAP-IFRS'!H63,IF('Broker Actual'!H63="-",'GAAP-IFRS'!H63,'Broker Actual'!H63))</f>
        <v>-168.28899999999999</v>
      </c>
      <c r="F227" s="140">
        <f>CHOOSE(IF($B$1=2,2,1),'GAAP-IFRS'!I63,IF('Broker Actual'!I63="-",'GAAP-IFRS'!I63,'Broker Actual'!I63))</f>
        <v>-114.985</v>
      </c>
      <c r="G227" s="140">
        <f>CHOOSE(IF($B$1=2,2,1),'GAAP-IFRS'!J63,IF('Broker Actual'!J63="-",'GAAP-IFRS'!J63,'Broker Actual'!J63))</f>
        <v>-181.3</v>
      </c>
      <c r="H227" s="140">
        <f>CHOOSE(IF($B$1=2,2,1),'GAAP-IFRS'!K63,IF('Broker Actual'!K63="-",'GAAP-IFRS'!K63,'Broker Actual'!K63))</f>
        <v>-381.61599999999999</v>
      </c>
      <c r="I227" s="140">
        <f>CHOOSE(IF($B$1=2,2,1),'GAAP-IFRS'!L63,IF('Broker Actual'!L63="-",'GAAP-IFRS'!L63,'Broker Actual'!L63))</f>
        <v>-121.13200000000001</v>
      </c>
      <c r="J227" s="140">
        <f>CHOOSE(IF($B$1=2,2,1),'GAAP-IFRS'!M63,IF('Broker Actual'!M63="-",'GAAP-IFRS'!M63,'Broker Actual'!M63))</f>
        <v>-110.63500000000001</v>
      </c>
      <c r="K227" s="140">
        <f>CHOOSE(IF($B$1=2,2,1),'GAAP-IFRS'!N63,IF('Broker Actual'!N63="-",'GAAP-IFRS'!N63,'Broker Actual'!N63))</f>
        <v>-127.53400000000001</v>
      </c>
      <c r="L227" s="140">
        <f>CHOOSE(IF($B$1=2,2,1),'GAAP-IFRS'!O63,IF('Broker Actual'!O63="-",'GAAP-IFRS'!O63,'Broker Actual'!O63))</f>
        <v>-640.58000000000004</v>
      </c>
      <c r="M227" s="148">
        <f>AVERAGE(H227:L227)</f>
        <v>-276.29939999999999</v>
      </c>
      <c r="N227" s="148">
        <f t="shared" ref="N227:Q228" si="111">M227</f>
        <v>-276.29939999999999</v>
      </c>
      <c r="O227" s="148">
        <f t="shared" si="111"/>
        <v>-276.29939999999999</v>
      </c>
      <c r="P227" s="148">
        <f t="shared" si="111"/>
        <v>-276.29939999999999</v>
      </c>
      <c r="Q227" s="148">
        <f t="shared" si="111"/>
        <v>-276.29939999999999</v>
      </c>
      <c r="R227" s="124"/>
      <c r="S227" s="124"/>
      <c r="T227" s="124"/>
      <c r="U227" s="124"/>
      <c r="V227" s="124"/>
      <c r="W227" s="125"/>
      <c r="X227" s="126"/>
      <c r="Y227" s="126"/>
      <c r="Z227" s="124"/>
      <c r="AA227" s="124"/>
      <c r="AB227" s="124"/>
      <c r="AC227" s="124"/>
      <c r="AD227" s="124"/>
      <c r="AE227" s="127"/>
    </row>
    <row r="228" spans="1:31" outlineLevel="1" x14ac:dyDescent="0.3">
      <c r="A228" s="195" t="s">
        <v>174</v>
      </c>
      <c r="B228" s="140">
        <f>CHOOSE(IF($B$1=2,2,1),'GAAP-IFRS'!E64,IF('Broker Actual'!E64="-",'GAAP-IFRS'!E64,'Broker Actual'!E64))</f>
        <v>26.28</v>
      </c>
      <c r="C228" s="140">
        <f>CHOOSE(IF($B$1=2,2,1),'GAAP-IFRS'!F64,IF('Broker Actual'!F64="-",'GAAP-IFRS'!F64,'Broker Actual'!F64))</f>
        <v>8.1720000000000006</v>
      </c>
      <c r="D228" s="140">
        <f>CHOOSE(IF($B$1=2,2,1),'GAAP-IFRS'!G64,IF('Broker Actual'!G64="-",'GAAP-IFRS'!G64,'Broker Actual'!G64))</f>
        <v>119.779</v>
      </c>
      <c r="E228" s="140">
        <f>CHOOSE(IF($B$1=2,2,1),'GAAP-IFRS'!H64,IF('Broker Actual'!H64="-",'GAAP-IFRS'!H64,'Broker Actual'!H64))</f>
        <v>88.754999999999995</v>
      </c>
      <c r="F228" s="140">
        <f>CHOOSE(IF($B$1=2,2,1),'GAAP-IFRS'!I64,IF('Broker Actual'!I64="-",'GAAP-IFRS'!I64,'Broker Actual'!I64))</f>
        <v>78.472999999999999</v>
      </c>
      <c r="G228" s="140">
        <f>CHOOSE(IF($B$1=2,2,1),'GAAP-IFRS'!J64,IF('Broker Actual'!J64="-",'GAAP-IFRS'!J64,'Broker Actual'!J64))</f>
        <v>91.938000000000002</v>
      </c>
      <c r="H228" s="140">
        <f>CHOOSE(IF($B$1=2,2,1),'GAAP-IFRS'!K64,IF('Broker Actual'!K64="-",'GAAP-IFRS'!K64,'Broker Actual'!K64))</f>
        <v>365.68099999999998</v>
      </c>
      <c r="I228" s="140">
        <f>CHOOSE(IF($B$1=2,2,1),'GAAP-IFRS'!L64,IF('Broker Actual'!L64="-",'GAAP-IFRS'!L64,'Broker Actual'!L64))</f>
        <v>172.357</v>
      </c>
      <c r="J228" s="140">
        <f>CHOOSE(IF($B$1=2,2,1),'GAAP-IFRS'!M64,IF('Broker Actual'!M64="-",'GAAP-IFRS'!M64,'Broker Actual'!M64))</f>
        <v>214.20099999999999</v>
      </c>
      <c r="K228" s="140">
        <f>CHOOSE(IF($B$1=2,2,1),'GAAP-IFRS'!N64,IF('Broker Actual'!N64="-",'GAAP-IFRS'!N64,'Broker Actual'!N64))</f>
        <v>162.42400000000001</v>
      </c>
      <c r="L228" s="140">
        <f>CHOOSE(IF($B$1=2,2,1),'GAAP-IFRS'!O64,IF('Broker Actual'!O64="-",'GAAP-IFRS'!O64,'Broker Actual'!O64))</f>
        <v>195.97300000000001</v>
      </c>
      <c r="M228" s="148">
        <f>AVERAGE(H228:L228)</f>
        <v>222.12719999999999</v>
      </c>
      <c r="N228" s="148">
        <f t="shared" si="111"/>
        <v>222.12719999999999</v>
      </c>
      <c r="O228" s="148">
        <f t="shared" si="111"/>
        <v>222.12719999999999</v>
      </c>
      <c r="P228" s="148">
        <f t="shared" si="111"/>
        <v>222.12719999999999</v>
      </c>
      <c r="Q228" s="148">
        <f t="shared" si="111"/>
        <v>222.12719999999999</v>
      </c>
      <c r="R228" s="124"/>
      <c r="S228" s="124"/>
      <c r="T228" s="124"/>
      <c r="U228" s="124"/>
      <c r="V228" s="124"/>
      <c r="W228" s="125"/>
      <c r="X228" s="126"/>
      <c r="Y228" s="126"/>
      <c r="Z228" s="124"/>
      <c r="AA228" s="124"/>
      <c r="AB228" s="124"/>
      <c r="AC228" s="124"/>
      <c r="AD228" s="124"/>
      <c r="AE228" s="127"/>
    </row>
    <row r="229" spans="1:31" outlineLevel="1" x14ac:dyDescent="0.3">
      <c r="A229" s="46" t="s">
        <v>163</v>
      </c>
      <c r="B229" s="140"/>
      <c r="C229" s="140"/>
      <c r="D229" s="140"/>
      <c r="E229" s="140"/>
      <c r="F229" s="140"/>
      <c r="G229" s="140"/>
      <c r="H229" s="140"/>
      <c r="I229" s="140"/>
      <c r="J229" s="140"/>
      <c r="K229" s="140"/>
      <c r="L229" s="140"/>
      <c r="M229" s="124"/>
      <c r="N229" s="124"/>
      <c r="O229" s="124"/>
      <c r="P229" s="124"/>
      <c r="Q229" s="124"/>
      <c r="R229" s="124"/>
      <c r="S229" s="124"/>
      <c r="T229" s="124"/>
      <c r="U229" s="124"/>
      <c r="V229" s="124"/>
      <c r="W229" s="125"/>
      <c r="X229" s="126"/>
      <c r="Y229" s="126"/>
      <c r="Z229" s="124"/>
      <c r="AA229" s="124"/>
      <c r="AB229" s="124"/>
      <c r="AC229" s="124"/>
      <c r="AD229" s="124"/>
      <c r="AE229" s="127"/>
    </row>
    <row r="230" spans="1:31" outlineLevel="1" x14ac:dyDescent="0.3">
      <c r="A230" s="195" t="s">
        <v>175</v>
      </c>
      <c r="B230" s="140">
        <f>CHOOSE(IF($B$1=2,2,1),'GAAP-IFRS'!E66,IF('Broker Actual'!E66="-",'GAAP-IFRS'!E66,'Broker Actual'!E66))</f>
        <v>0</v>
      </c>
      <c r="C230" s="140">
        <f>CHOOSE(IF($B$1=2,2,1),'GAAP-IFRS'!F66,IF('Broker Actual'!F66="-",'GAAP-IFRS'!F66,'Broker Actual'!F66))</f>
        <v>0</v>
      </c>
      <c r="D230" s="140">
        <f>CHOOSE(IF($B$1=2,2,1),'GAAP-IFRS'!G66,IF('Broker Actual'!G66="-",'GAAP-IFRS'!G66,'Broker Actual'!G66))</f>
        <v>0</v>
      </c>
      <c r="E230" s="140">
        <f>CHOOSE(IF($B$1=2,2,1),'GAAP-IFRS'!H66,IF('Broker Actual'!H66="-",'GAAP-IFRS'!H66,'Broker Actual'!H66))</f>
        <v>0</v>
      </c>
      <c r="F230" s="140">
        <f>CHOOSE(IF($B$1=2,2,1),'GAAP-IFRS'!I66,IF('Broker Actual'!I66="-",'GAAP-IFRS'!I66,'Broker Actual'!I66))</f>
        <v>0</v>
      </c>
      <c r="G230" s="140">
        <f>CHOOSE(IF($B$1=2,2,1),'GAAP-IFRS'!J66,IF('Broker Actual'!J66="-",'GAAP-IFRS'!J66,'Broker Actual'!J66))</f>
        <v>0</v>
      </c>
      <c r="H230" s="140">
        <f>CHOOSE(IF($B$1=2,2,1),'GAAP-IFRS'!K66,IF('Broker Actual'!K66="-",'GAAP-IFRS'!K66,'Broker Actual'!K66))</f>
        <v>0</v>
      </c>
      <c r="I230" s="140">
        <f>CHOOSE(IF($B$1=2,2,1),'GAAP-IFRS'!L66,IF('Broker Actual'!L66="-",'GAAP-IFRS'!L66,'Broker Actual'!L66))</f>
        <v>0</v>
      </c>
      <c r="J230" s="140">
        <f>CHOOSE(IF($B$1=2,2,1),'GAAP-IFRS'!M66,IF('Broker Actual'!M66="-",'GAAP-IFRS'!M66,'Broker Actual'!M66))</f>
        <v>0</v>
      </c>
      <c r="K230" s="140">
        <f>CHOOSE(IF($B$1=2,2,1),'GAAP-IFRS'!N66,IF('Broker Actual'!N66="-",'GAAP-IFRS'!N66,'Broker Actual'!N66))</f>
        <v>0</v>
      </c>
      <c r="L230" s="140">
        <f>CHOOSE(IF($B$1=2,2,1),'GAAP-IFRS'!O66,IF('Broker Actual'!O66="-",'GAAP-IFRS'!O66,'Broker Actual'!O66))</f>
        <v>0</v>
      </c>
      <c r="M230" s="148">
        <v>0</v>
      </c>
      <c r="N230" s="148">
        <f t="shared" ref="N230:Q231" si="112">M230</f>
        <v>0</v>
      </c>
      <c r="O230" s="148">
        <f t="shared" si="112"/>
        <v>0</v>
      </c>
      <c r="P230" s="148">
        <f t="shared" si="112"/>
        <v>0</v>
      </c>
      <c r="Q230" s="148">
        <f t="shared" si="112"/>
        <v>0</v>
      </c>
      <c r="R230" s="124"/>
      <c r="S230" s="124"/>
      <c r="T230" s="124"/>
      <c r="U230" s="124"/>
      <c r="V230" s="124"/>
      <c r="W230" s="125"/>
      <c r="X230" s="126"/>
      <c r="Y230" s="126"/>
      <c r="Z230" s="124"/>
      <c r="AA230" s="124"/>
      <c r="AB230" s="124"/>
      <c r="AC230" s="124"/>
      <c r="AD230" s="124"/>
      <c r="AE230" s="127"/>
    </row>
    <row r="231" spans="1:31" outlineLevel="1" x14ac:dyDescent="0.3">
      <c r="A231" s="195" t="s">
        <v>176</v>
      </c>
      <c r="B231" s="140">
        <f>CHOOSE(IF($B$1=2,2,1),'GAAP-IFRS'!E67,IF('Broker Actual'!E67="-",'GAAP-IFRS'!E67,'Broker Actual'!E67))</f>
        <v>0</v>
      </c>
      <c r="C231" s="140">
        <f>CHOOSE(IF($B$1=2,2,1),'GAAP-IFRS'!F67,IF('Broker Actual'!F67="-",'GAAP-IFRS'!F67,'Broker Actual'!F67))</f>
        <v>0</v>
      </c>
      <c r="D231" s="140">
        <f>CHOOSE(IF($B$1=2,2,1),'GAAP-IFRS'!G67,IF('Broker Actual'!G67="-",'GAAP-IFRS'!G67,'Broker Actual'!G67))</f>
        <v>0</v>
      </c>
      <c r="E231" s="140">
        <f>CHOOSE(IF($B$1=2,2,1),'GAAP-IFRS'!H67,IF('Broker Actual'!H67="-",'GAAP-IFRS'!H67,'Broker Actual'!H67))</f>
        <v>0</v>
      </c>
      <c r="F231" s="140">
        <f>CHOOSE(IF($B$1=2,2,1),'GAAP-IFRS'!I67,IF('Broker Actual'!I67="-",'GAAP-IFRS'!I67,'Broker Actual'!I67))</f>
        <v>0</v>
      </c>
      <c r="G231" s="140">
        <f>CHOOSE(IF($B$1=2,2,1),'GAAP-IFRS'!J67,IF('Broker Actual'!J67="-",'GAAP-IFRS'!J67,'Broker Actual'!J67))</f>
        <v>0</v>
      </c>
      <c r="H231" s="140">
        <f>CHOOSE(IF($B$1=2,2,1),'GAAP-IFRS'!K67,IF('Broker Actual'!K67="-",'GAAP-IFRS'!K67,'Broker Actual'!K67))</f>
        <v>0</v>
      </c>
      <c r="I231" s="140">
        <f>CHOOSE(IF($B$1=2,2,1),'GAAP-IFRS'!L67,IF('Broker Actual'!L67="-",'GAAP-IFRS'!L67,'Broker Actual'!L67))</f>
        <v>0</v>
      </c>
      <c r="J231" s="140">
        <f>CHOOSE(IF($B$1=2,2,1),'GAAP-IFRS'!M67,IF('Broker Actual'!M67="-",'GAAP-IFRS'!M67,'Broker Actual'!M67))</f>
        <v>44</v>
      </c>
      <c r="K231" s="140">
        <f>CHOOSE(IF($B$1=2,2,1),'GAAP-IFRS'!N67,IF('Broker Actual'!N67="-",'GAAP-IFRS'!N67,'Broker Actual'!N67))</f>
        <v>0</v>
      </c>
      <c r="L231" s="140">
        <f>CHOOSE(IF($B$1=2,2,1),'GAAP-IFRS'!O67,IF('Broker Actual'!O67="-",'GAAP-IFRS'!O67,'Broker Actual'!O67))</f>
        <v>14.5</v>
      </c>
      <c r="M231" s="148">
        <f>AVERAGE(H231:L231)</f>
        <v>11.7</v>
      </c>
      <c r="N231" s="148">
        <f t="shared" si="112"/>
        <v>11.7</v>
      </c>
      <c r="O231" s="148">
        <f t="shared" si="112"/>
        <v>11.7</v>
      </c>
      <c r="P231" s="148">
        <f t="shared" si="112"/>
        <v>11.7</v>
      </c>
      <c r="Q231" s="148">
        <f t="shared" si="112"/>
        <v>11.7</v>
      </c>
      <c r="R231" s="124"/>
      <c r="S231" s="124"/>
      <c r="T231" s="124"/>
      <c r="U231" s="124"/>
      <c r="V231" s="124"/>
      <c r="W231" s="125"/>
      <c r="X231" s="126"/>
      <c r="Y231" s="126"/>
      <c r="Z231" s="124"/>
      <c r="AA231" s="124"/>
      <c r="AB231" s="124"/>
      <c r="AC231" s="124"/>
      <c r="AD231" s="124"/>
      <c r="AE231" s="127"/>
    </row>
    <row r="232" spans="1:31" s="118" customFormat="1" outlineLevel="1" x14ac:dyDescent="0.3">
      <c r="A232" s="42" t="s">
        <v>177</v>
      </c>
      <c r="B232" s="155">
        <f>CHOOSE(IF($B$1=2,2,1),'GAAP-IFRS'!E68,IF('Broker Actual'!E68="-",'GAAP-IFRS'!E68,'Broker Actual'!E68))</f>
        <v>-1.2110000000000001</v>
      </c>
      <c r="C232" s="155">
        <f>CHOOSE(IF($B$1=2,2,1),'GAAP-IFRS'!F68,IF('Broker Actual'!F68="-",'GAAP-IFRS'!F68,'Broker Actual'!F68))</f>
        <v>-90.04</v>
      </c>
      <c r="D232" s="155">
        <f>CHOOSE(IF($B$1=2,2,1),'GAAP-IFRS'!G68,IF('Broker Actual'!G68="-",'GAAP-IFRS'!G68,'Broker Actual'!G68))</f>
        <v>-18.652000000000001</v>
      </c>
      <c r="E232" s="155">
        <f>CHOOSE(IF($B$1=2,2,1),'GAAP-IFRS'!H68,IF('Broker Actual'!H68="-",'GAAP-IFRS'!H68,'Broker Actual'!H68))</f>
        <v>-80.373999999999995</v>
      </c>
      <c r="F232" s="155">
        <f>CHOOSE(IF($B$1=2,2,1),'GAAP-IFRS'!I68,IF('Broker Actual'!I68="-",'GAAP-IFRS'!I68,'Broker Actual'!I68))</f>
        <v>-51.091999999999999</v>
      </c>
      <c r="G232" s="155">
        <f>CHOOSE(IF($B$1=2,2,1),'GAAP-IFRS'!J68,IF('Broker Actual'!J68="-",'GAAP-IFRS'!J68,'Broker Actual'!J68))</f>
        <v>-92.338999999999999</v>
      </c>
      <c r="H232" s="155">
        <f>CHOOSE(IF($B$1=2,2,1),'GAAP-IFRS'!K68,IF('Broker Actual'!K68="-",'GAAP-IFRS'!K68,'Broker Actual'!K68))</f>
        <v>-19.07</v>
      </c>
      <c r="I232" s="155">
        <f>CHOOSE(IF($B$1=2,2,1),'GAAP-IFRS'!L68,IF('Broker Actual'!L68="-",'GAAP-IFRS'!L68,'Broker Actual'!L68))</f>
        <v>48.338000000000001</v>
      </c>
      <c r="J232" s="155">
        <f>CHOOSE(IF($B$1=2,2,1),'GAAP-IFRS'!M68,IF('Broker Actual'!M68="-",'GAAP-IFRS'!M68,'Broker Actual'!M68))</f>
        <v>141.12899999999999</v>
      </c>
      <c r="K232" s="155">
        <f>CHOOSE(IF($B$1=2,2,1),'GAAP-IFRS'!N68,IF('Broker Actual'!N68="-",'GAAP-IFRS'!N68,'Broker Actual'!N68))</f>
        <v>125.255</v>
      </c>
      <c r="L232" s="155">
        <f>CHOOSE(IF($B$1=2,2,1),'GAAP-IFRS'!O68,IF('Broker Actual'!O68="-",'GAAP-IFRS'!O68,'Broker Actual'!O68))</f>
        <v>-440.654</v>
      </c>
      <c r="M232" s="156">
        <f>SUM(M222,M224,M225,M227,M228,M230,M231)</f>
        <v>-50.488723569950892</v>
      </c>
      <c r="N232" s="156">
        <f t="shared" ref="N232:Q232" si="113">SUM(N222,N224,N225,N227,N228,N230,N231)</f>
        <v>-52.842362660280472</v>
      </c>
      <c r="O232" s="156">
        <f t="shared" si="113"/>
        <v>-53.306528623172326</v>
      </c>
      <c r="P232" s="156">
        <f t="shared" si="113"/>
        <v>-54.186806988935999</v>
      </c>
      <c r="Q232" s="156">
        <f t="shared" si="113"/>
        <v>-55.331164530481217</v>
      </c>
      <c r="R232" s="157"/>
      <c r="S232" s="157"/>
      <c r="T232" s="157"/>
      <c r="U232" s="157"/>
      <c r="V232" s="157"/>
      <c r="W232" s="158"/>
      <c r="X232" s="159" t="s">
        <v>91</v>
      </c>
      <c r="Y232" s="159" t="s">
        <v>178</v>
      </c>
      <c r="Z232" s="157" t="str" cm="1">
        <f t="array" ref="Z232">_xll.FDSC("--",$A$1,""&amp;$X232&amp;"("&amp;$Y232&amp;","&amp;D$2&amp;",ANNUAL_ROLL,+1,0,,,'CURRENCY="&amp;$E$1&amp;"')")</f>
        <v>--</v>
      </c>
      <c r="AA232" s="157" t="str" cm="1">
        <f t="array" ref="AA232">_xll.FDSC("--",$A$1,""&amp;$X232&amp;"("&amp;$Y232&amp;","&amp;D$2&amp;",ANNUAL_ROLL,+2,0,,,'CURRENCY="&amp;$E$1&amp;"')")</f>
        <v>--</v>
      </c>
      <c r="AB232" s="157" t="str" cm="1">
        <f t="array" ref="AB232">_xll.FDSC("--",$A$1,""&amp;$X232&amp;"("&amp;$Y232&amp;","&amp;D$2&amp;",ANNUAL_ROLL,+3,0,,,'CURRENCY="&amp;$E$1&amp;"')")</f>
        <v>--</v>
      </c>
      <c r="AC232" s="157"/>
      <c r="AD232" s="157" cm="1">
        <f t="array" ref="AD232">_xll.FDSC("--",$A$1,"FF_INVEST_CF(LTM_R,0,,,,"&amp;$E$1&amp;")@FF_INVEST_CF(LTM_SEMI_R,0,,,,"&amp;$E$1&amp;")")</f>
        <v>-21.123000000000001</v>
      </c>
      <c r="AE232" s="160"/>
    </row>
    <row r="233" spans="1:31" outlineLevel="1" x14ac:dyDescent="0.3">
      <c r="A233" s="129" t="s">
        <v>137</v>
      </c>
      <c r="B233" s="130">
        <f>B232/B57</f>
        <v>-5.1839200023971891E-3</v>
      </c>
      <c r="C233" s="130">
        <f t="shared" ref="C233:Q233" si="114">C232/C$57</f>
        <v>-0.37347358640828249</v>
      </c>
      <c r="D233" s="130">
        <f t="shared" si="114"/>
        <v>-7.0091842409848643E-2</v>
      </c>
      <c r="E233" s="130">
        <f t="shared" si="114"/>
        <v>-0.28107514547896151</v>
      </c>
      <c r="F233" s="130">
        <f t="shared" si="114"/>
        <v>-0.19320390552324479</v>
      </c>
      <c r="G233" s="130">
        <f t="shared" si="114"/>
        <v>-0.37780987373468733</v>
      </c>
      <c r="H233" s="130">
        <f t="shared" si="114"/>
        <v>-8.2449890182107466E-2</v>
      </c>
      <c r="I233" s="130">
        <f t="shared" si="114"/>
        <v>0.19935333272845748</v>
      </c>
      <c r="J233" s="130">
        <f t="shared" si="114"/>
        <v>0.45461397964804451</v>
      </c>
      <c r="K233" s="130">
        <f t="shared" si="114"/>
        <v>0.30706152016964317</v>
      </c>
      <c r="L233" s="130">
        <f t="shared" si="114"/>
        <v>-0.8820789369909301</v>
      </c>
      <c r="M233" s="130">
        <f t="shared" si="114"/>
        <v>-9.1069529253513457E-2</v>
      </c>
      <c r="N233" s="130">
        <f t="shared" si="114"/>
        <v>-7.3682004641545867E-2</v>
      </c>
      <c r="O233" s="130">
        <f t="shared" si="114"/>
        <v>-7.1144801447444839E-2</v>
      </c>
      <c r="P233" s="130">
        <f t="shared" si="114"/>
        <v>-6.6885289578305168E-2</v>
      </c>
      <c r="Q233" s="130">
        <f t="shared" si="114"/>
        <v>-6.2219796534697086E-2</v>
      </c>
      <c r="R233" s="124"/>
      <c r="S233" s="124"/>
      <c r="T233" s="124"/>
      <c r="U233" s="124"/>
      <c r="V233" s="124"/>
      <c r="W233" s="125"/>
      <c r="X233" s="126"/>
      <c r="Y233" s="126"/>
      <c r="Z233" s="124"/>
      <c r="AA233" s="124"/>
      <c r="AB233" s="124"/>
      <c r="AC233" s="124"/>
      <c r="AD233" s="124"/>
      <c r="AE233" s="127"/>
    </row>
    <row r="234" spans="1:31" outlineLevel="1" x14ac:dyDescent="0.3">
      <c r="B234" s="140"/>
      <c r="C234" s="140"/>
      <c r="D234" s="140"/>
      <c r="E234" s="140"/>
      <c r="F234" s="140"/>
      <c r="G234" s="140"/>
      <c r="H234" s="140"/>
      <c r="I234" s="140"/>
      <c r="J234" s="140"/>
      <c r="K234" s="140"/>
      <c r="L234" s="140"/>
      <c r="M234" s="124"/>
      <c r="N234" s="124"/>
      <c r="O234" s="124"/>
      <c r="P234" s="124"/>
      <c r="Q234" s="124"/>
      <c r="R234" s="124"/>
      <c r="S234" s="124"/>
      <c r="T234" s="124"/>
      <c r="U234" s="124"/>
      <c r="V234" s="124"/>
      <c r="W234" s="190"/>
      <c r="X234" s="126"/>
      <c r="Y234" s="126"/>
      <c r="Z234" s="124"/>
      <c r="AA234" s="124"/>
      <c r="AB234" s="124"/>
      <c r="AC234" s="124"/>
      <c r="AD234" s="124"/>
      <c r="AE234" s="127"/>
    </row>
    <row r="235" spans="1:31" outlineLevel="1" x14ac:dyDescent="0.3">
      <c r="A235" s="79" t="s">
        <v>179</v>
      </c>
      <c r="B235" s="141">
        <f t="shared" ref="B235:Q235" si="115">B219+B232</f>
        <v>105.05500000000001</v>
      </c>
      <c r="C235" s="141">
        <f t="shared" si="115"/>
        <v>-34.568000000000005</v>
      </c>
      <c r="D235" s="141">
        <f t="shared" si="115"/>
        <v>70.762</v>
      </c>
      <c r="E235" s="141">
        <f t="shared" si="115"/>
        <v>-34.344999999999992</v>
      </c>
      <c r="F235" s="141">
        <f t="shared" si="115"/>
        <v>37.629999999999995</v>
      </c>
      <c r="G235" s="141">
        <f t="shared" si="115"/>
        <v>-62.664999999999999</v>
      </c>
      <c r="H235" s="141">
        <f t="shared" si="115"/>
        <v>11.344999999999999</v>
      </c>
      <c r="I235" s="141">
        <f t="shared" si="115"/>
        <v>104.812</v>
      </c>
      <c r="J235" s="141">
        <f t="shared" si="115"/>
        <v>220.83199999999999</v>
      </c>
      <c r="K235" s="141">
        <f t="shared" si="115"/>
        <v>227.34399999999999</v>
      </c>
      <c r="L235" s="141">
        <f t="shared" si="115"/>
        <v>-434.87899999999996</v>
      </c>
      <c r="M235" s="141">
        <f>M219+M232</f>
        <v>39.263211165591898</v>
      </c>
      <c r="N235" s="141">
        <f t="shared" si="115"/>
        <v>71.520932236582027</v>
      </c>
      <c r="O235" s="141">
        <f t="shared" si="115"/>
        <v>77.445195768150214</v>
      </c>
      <c r="P235" s="141">
        <f t="shared" si="115"/>
        <v>88.826172143402871</v>
      </c>
      <c r="Q235" s="141">
        <f t="shared" si="115"/>
        <v>101.96119455896296</v>
      </c>
      <c r="R235" s="124"/>
      <c r="S235" s="124"/>
      <c r="T235" s="124"/>
      <c r="U235" s="124"/>
      <c r="V235" s="124"/>
      <c r="W235" s="125"/>
      <c r="X235" s="126"/>
      <c r="Y235" s="126"/>
      <c r="Z235" s="124"/>
      <c r="AA235" s="124"/>
      <c r="AB235" s="124"/>
      <c r="AC235" s="124"/>
      <c r="AD235" s="124"/>
      <c r="AE235" s="127"/>
    </row>
    <row r="236" spans="1:31" outlineLevel="1" x14ac:dyDescent="0.3">
      <c r="A236" s="79" t="s">
        <v>180</v>
      </c>
      <c r="B236" s="141">
        <f t="shared" ref="B236:Q236" si="116">B235+B241</f>
        <v>96.494</v>
      </c>
      <c r="C236" s="141">
        <f t="shared" si="116"/>
        <v>-45.470000000000006</v>
      </c>
      <c r="D236" s="141">
        <f t="shared" si="116"/>
        <v>58.406999999999996</v>
      </c>
      <c r="E236" s="141">
        <f t="shared" si="116"/>
        <v>-46.772999999999996</v>
      </c>
      <c r="F236" s="141">
        <f t="shared" si="116"/>
        <v>25.191999999999993</v>
      </c>
      <c r="G236" s="141">
        <f t="shared" si="116"/>
        <v>-76.570999999999998</v>
      </c>
      <c r="H236" s="141">
        <f t="shared" si="116"/>
        <v>2.6999999999999247E-2</v>
      </c>
      <c r="I236" s="141">
        <f t="shared" si="116"/>
        <v>91.8</v>
      </c>
      <c r="J236" s="141">
        <f t="shared" si="116"/>
        <v>208.13800000000001</v>
      </c>
      <c r="K236" s="141">
        <f t="shared" si="116"/>
        <v>213.279</v>
      </c>
      <c r="L236" s="141">
        <f t="shared" si="116"/>
        <v>-450.11199999999997</v>
      </c>
      <c r="M236" s="141">
        <f>M235+M241</f>
        <v>23.337771099444584</v>
      </c>
      <c r="N236" s="141">
        <f t="shared" si="116"/>
        <v>56.414104382326123</v>
      </c>
      <c r="O236" s="141">
        <f t="shared" si="116"/>
        <v>64.186127797500248</v>
      </c>
      <c r="P236" s="141">
        <f t="shared" si="116"/>
        <v>74.096744265674658</v>
      </c>
      <c r="Q236" s="141">
        <f t="shared" si="116"/>
        <v>85.718751842624926</v>
      </c>
      <c r="R236" s="124"/>
      <c r="S236" s="124"/>
      <c r="T236" s="124"/>
      <c r="U236" s="124"/>
      <c r="V236" s="124"/>
      <c r="W236" s="125"/>
      <c r="X236" s="126"/>
      <c r="Y236" s="126"/>
      <c r="Z236" s="124"/>
      <c r="AA236" s="124"/>
      <c r="AB236" s="124"/>
      <c r="AC236" s="124"/>
      <c r="AD236" s="124"/>
      <c r="AE236" s="127"/>
    </row>
    <row r="237" spans="1:31" outlineLevel="1" x14ac:dyDescent="0.3">
      <c r="A237" s="79" t="s">
        <v>181</v>
      </c>
      <c r="B237" s="124"/>
      <c r="C237" s="124"/>
      <c r="D237" s="124"/>
      <c r="E237" s="124"/>
      <c r="F237" s="124"/>
      <c r="G237" s="124"/>
      <c r="H237" s="124"/>
      <c r="I237" s="124"/>
      <c r="J237" s="124"/>
      <c r="K237" s="124"/>
      <c r="L237" s="124"/>
      <c r="M237" s="232">
        <v>0.9</v>
      </c>
      <c r="N237" s="232">
        <f>M237</f>
        <v>0.9</v>
      </c>
      <c r="O237" s="232">
        <f t="shared" ref="O237:Q237" si="117">N237</f>
        <v>0.9</v>
      </c>
      <c r="P237" s="232">
        <f t="shared" si="117"/>
        <v>0.9</v>
      </c>
      <c r="Q237" s="232">
        <f t="shared" si="117"/>
        <v>0.9</v>
      </c>
      <c r="R237" s="124"/>
      <c r="S237" s="124"/>
      <c r="T237" s="124"/>
      <c r="U237" s="124"/>
      <c r="V237" s="124"/>
      <c r="W237" s="125"/>
      <c r="X237" s="126"/>
      <c r="Y237" s="126"/>
      <c r="Z237" s="124"/>
      <c r="AA237" s="124"/>
      <c r="AB237" s="124"/>
      <c r="AC237" s="124"/>
      <c r="AD237" s="124"/>
      <c r="AE237" s="127"/>
    </row>
    <row r="238" spans="1:31" outlineLevel="1" x14ac:dyDescent="0.3">
      <c r="A238" s="79" t="s">
        <v>182</v>
      </c>
      <c r="B238" s="124"/>
      <c r="C238" s="124"/>
      <c r="D238" s="124"/>
      <c r="E238" s="124"/>
      <c r="F238" s="124"/>
      <c r="G238" s="124"/>
      <c r="H238" s="124"/>
      <c r="I238" s="124"/>
      <c r="J238" s="124"/>
      <c r="K238" s="124"/>
      <c r="L238" s="124"/>
      <c r="M238" s="191">
        <f>1-M237</f>
        <v>9.9999999999999978E-2</v>
      </c>
      <c r="N238" s="191">
        <f t="shared" ref="N238:Q238" si="118">1-N237</f>
        <v>9.9999999999999978E-2</v>
      </c>
      <c r="O238" s="191">
        <f t="shared" si="118"/>
        <v>9.9999999999999978E-2</v>
      </c>
      <c r="P238" s="191">
        <f t="shared" si="118"/>
        <v>9.9999999999999978E-2</v>
      </c>
      <c r="Q238" s="191">
        <f t="shared" si="118"/>
        <v>9.9999999999999978E-2</v>
      </c>
      <c r="R238" s="124"/>
      <c r="S238" s="124"/>
      <c r="T238" s="124"/>
      <c r="U238" s="124"/>
      <c r="V238" s="124"/>
      <c r="W238" s="125"/>
      <c r="X238" s="126"/>
      <c r="Y238" s="126"/>
      <c r="Z238" s="124"/>
      <c r="AA238" s="124"/>
      <c r="AB238" s="124"/>
      <c r="AC238" s="124"/>
      <c r="AD238" s="124"/>
      <c r="AE238" s="127"/>
    </row>
    <row r="239" spans="1:31" outlineLevel="1" x14ac:dyDescent="0.3">
      <c r="B239" s="124"/>
      <c r="C239" s="124"/>
      <c r="D239" s="124"/>
      <c r="E239" s="124"/>
      <c r="F239" s="124"/>
      <c r="G239" s="124"/>
      <c r="H239" s="124"/>
      <c r="I239" s="124"/>
      <c r="J239" s="124"/>
      <c r="K239" s="124"/>
      <c r="L239" s="124"/>
      <c r="M239" s="124"/>
      <c r="N239" s="124"/>
      <c r="O239" s="124"/>
      <c r="P239" s="124"/>
      <c r="Q239" s="124"/>
      <c r="R239" s="124"/>
      <c r="S239" s="124"/>
      <c r="T239" s="124"/>
      <c r="U239" s="124"/>
      <c r="V239" s="124"/>
      <c r="W239" s="125"/>
      <c r="X239" s="126"/>
      <c r="Y239" s="126"/>
      <c r="Z239" s="124"/>
      <c r="AA239" s="124"/>
      <c r="AB239" s="124"/>
      <c r="AC239" s="124"/>
      <c r="AD239" s="124"/>
      <c r="AE239" s="127"/>
    </row>
    <row r="240" spans="1:31" outlineLevel="1" x14ac:dyDescent="0.3">
      <c r="A240" s="118" t="s">
        <v>183</v>
      </c>
      <c r="B240" s="124"/>
      <c r="C240" s="124"/>
      <c r="D240" s="124"/>
      <c r="E240" s="124"/>
      <c r="F240" s="124"/>
      <c r="G240" s="124"/>
      <c r="H240" s="124"/>
      <c r="I240" s="124"/>
      <c r="J240" s="124"/>
      <c r="K240" s="124"/>
      <c r="L240" s="124"/>
      <c r="M240" s="124"/>
      <c r="N240" s="124"/>
      <c r="O240" s="124"/>
      <c r="P240" s="124"/>
      <c r="Q240" s="124"/>
      <c r="R240" s="124"/>
      <c r="S240" s="124"/>
      <c r="T240" s="124"/>
      <c r="U240" s="124"/>
      <c r="V240" s="124"/>
      <c r="W240" s="190"/>
      <c r="X240" s="126"/>
      <c r="Y240" s="126"/>
      <c r="Z240" s="124"/>
      <c r="AA240" s="124"/>
      <c r="AB240" s="124"/>
      <c r="AC240" s="124"/>
      <c r="AD240" s="124"/>
      <c r="AE240" s="127"/>
    </row>
    <row r="241" spans="1:31" outlineLevel="1" x14ac:dyDescent="0.3">
      <c r="A241" s="79" t="s">
        <v>184</v>
      </c>
      <c r="B241" s="140">
        <f>CHOOSE(IF($B$1=2,2,1),'GAAP-IFRS'!E71,IF('Broker Actual'!E71="-",'GAAP-IFRS'!E71,'Broker Actual'!E71))</f>
        <v>-8.5609999999999999</v>
      </c>
      <c r="C241" s="140">
        <f>CHOOSE(IF($B$1=2,2,1),'GAAP-IFRS'!F71,IF('Broker Actual'!F71="-",'GAAP-IFRS'!F71,'Broker Actual'!F71))</f>
        <v>-10.901999999999999</v>
      </c>
      <c r="D241" s="140">
        <f>CHOOSE(IF($B$1=2,2,1),'GAAP-IFRS'!G71,IF('Broker Actual'!G71="-",'GAAP-IFRS'!G71,'Broker Actual'!G71))</f>
        <v>-12.355</v>
      </c>
      <c r="E241" s="140">
        <f>CHOOSE(IF($B$1=2,2,1),'GAAP-IFRS'!H71,IF('Broker Actual'!H71="-",'GAAP-IFRS'!H71,'Broker Actual'!H71))</f>
        <v>-12.428000000000001</v>
      </c>
      <c r="F241" s="140">
        <f>CHOOSE(IF($B$1=2,2,1),'GAAP-IFRS'!I71,IF('Broker Actual'!I71="-",'GAAP-IFRS'!I71,'Broker Actual'!I71))</f>
        <v>-12.438000000000001</v>
      </c>
      <c r="G241" s="140">
        <f>CHOOSE(IF($B$1=2,2,1),'GAAP-IFRS'!J71,IF('Broker Actual'!J71="-",'GAAP-IFRS'!J71,'Broker Actual'!J71))</f>
        <v>-13.906000000000001</v>
      </c>
      <c r="H241" s="140">
        <f>CHOOSE(IF($B$1=2,2,1),'GAAP-IFRS'!K71,IF('Broker Actual'!K71="-",'GAAP-IFRS'!K71,'Broker Actual'!K71))</f>
        <v>-11.318</v>
      </c>
      <c r="I241" s="140">
        <f>CHOOSE(IF($B$1=2,2,1),'GAAP-IFRS'!L71,IF('Broker Actual'!L71="-",'GAAP-IFRS'!L71,'Broker Actual'!L71))</f>
        <v>-13.012</v>
      </c>
      <c r="J241" s="140">
        <f>CHOOSE(IF($B$1=2,2,1),'GAAP-IFRS'!M71,IF('Broker Actual'!M71="-",'GAAP-IFRS'!M71,'Broker Actual'!M71))</f>
        <v>-12.694000000000001</v>
      </c>
      <c r="K241" s="140">
        <f>CHOOSE(IF($B$1=2,2,1),'GAAP-IFRS'!N71,IF('Broker Actual'!N71="-",'GAAP-IFRS'!N71,'Broker Actual'!N71))</f>
        <v>-14.065</v>
      </c>
      <c r="L241" s="140">
        <f>CHOOSE(IF($B$1=2,2,1),'GAAP-IFRS'!O71,IF('Broker Actual'!O71="-",'GAAP-IFRS'!O71,'Broker Actual'!O71))</f>
        <v>-15.233000000000001</v>
      </c>
      <c r="M241" s="141">
        <f>M242*M128</f>
        <v>-15.925440066147313</v>
      </c>
      <c r="N241" s="141">
        <f>N242*N128</f>
        <v>-15.106827854255904</v>
      </c>
      <c r="O241" s="141">
        <f>O242*O128</f>
        <v>-13.259067970649962</v>
      </c>
      <c r="P241" s="141">
        <f>P242*P128</f>
        <v>-14.729427877728211</v>
      </c>
      <c r="Q241" s="141">
        <f>Q242*Q128</f>
        <v>-16.242442716338029</v>
      </c>
      <c r="R241" s="124"/>
      <c r="S241" s="124"/>
      <c r="T241" s="124"/>
      <c r="U241" s="124"/>
      <c r="V241" s="124"/>
      <c r="W241" s="125"/>
      <c r="X241" s="126"/>
      <c r="Y241" s="126"/>
      <c r="Z241" s="124"/>
      <c r="AA241" s="124"/>
      <c r="AB241" s="124"/>
      <c r="AC241" s="124"/>
      <c r="AD241" s="124" cm="1">
        <f t="array" ref="AD241">_xll.FDSC("--",$A$1,"FF_DIV_COM_CF(LTM_R,0,,,,"&amp;$E$1&amp;")@FF_DIV_COM_CF(LTM_SEMI_R,0,,,,"&amp;$E$1&amp;")")</f>
        <v>13.933999999999999</v>
      </c>
      <c r="AE241" s="127"/>
    </row>
    <row r="242" spans="1:31" outlineLevel="1" x14ac:dyDescent="0.3">
      <c r="A242" s="79" t="s">
        <v>185</v>
      </c>
      <c r="B242" s="130">
        <f t="shared" ref="B242:L242" si="119">B241/B128</f>
        <v>-0.28694486341545167</v>
      </c>
      <c r="C242" s="130">
        <f t="shared" si="119"/>
        <v>-0.16654954321855234</v>
      </c>
      <c r="D242" s="130">
        <f t="shared" si="119"/>
        <v>-0.1971626452189455</v>
      </c>
      <c r="E242" s="130">
        <f t="shared" si="119"/>
        <v>-0.18870044487633045</v>
      </c>
      <c r="F242" s="130">
        <f t="shared" si="119"/>
        <v>-0.42858619620274974</v>
      </c>
      <c r="G242" s="130">
        <f>G241/G128</f>
        <v>2.0174089656172929</v>
      </c>
      <c r="H242" s="130">
        <f t="shared" si="119"/>
        <v>-0.63853314527503524</v>
      </c>
      <c r="I242" s="130">
        <f t="shared" si="119"/>
        <v>-0.48961468994581581</v>
      </c>
      <c r="J242" s="130">
        <f t="shared" si="119"/>
        <v>-0.46026105873821616</v>
      </c>
      <c r="K242" s="130">
        <f>K241/K128</f>
        <v>-1.9421430544048606</v>
      </c>
      <c r="L242" s="130">
        <f t="shared" si="119"/>
        <v>0.27897734556709336</v>
      </c>
      <c r="M242" s="189">
        <v>-0.47</v>
      </c>
      <c r="N242" s="189">
        <v>-0.28999999999999998</v>
      </c>
      <c r="O242" s="189">
        <v>-0.24</v>
      </c>
      <c r="P242" s="189">
        <f t="shared" ref="P242:Q242" si="120">O242</f>
        <v>-0.24</v>
      </c>
      <c r="Q242" s="189">
        <f t="shared" si="120"/>
        <v>-0.24</v>
      </c>
      <c r="R242" s="124"/>
      <c r="S242" s="124"/>
      <c r="T242" s="124"/>
      <c r="U242" s="124"/>
      <c r="V242" s="124"/>
      <c r="W242" s="125"/>
      <c r="X242" s="126"/>
      <c r="Y242" s="126"/>
      <c r="Z242" s="124"/>
      <c r="AA242" s="124"/>
      <c r="AB242" s="124"/>
      <c r="AC242" s="124"/>
      <c r="AD242" s="124"/>
      <c r="AE242" s="127"/>
    </row>
    <row r="243" spans="1:31" outlineLevel="1" x14ac:dyDescent="0.3">
      <c r="A243" s="79" t="s">
        <v>186</v>
      </c>
      <c r="B243" s="140">
        <f>CHOOSE(IF($B$1=2,2,1),'GAAP-IFRS'!E72,IF('Broker Actual'!E72="-",'GAAP-IFRS'!E72,'Broker Actual'!E72))</f>
        <v>0</v>
      </c>
      <c r="C243" s="140">
        <f>CHOOSE(IF($B$1=2,2,1),'GAAP-IFRS'!F72,IF('Broker Actual'!F72="-",'GAAP-IFRS'!F72,'Broker Actual'!F72))</f>
        <v>138.47999999999999</v>
      </c>
      <c r="D243" s="140">
        <f>CHOOSE(IF($B$1=2,2,1),'GAAP-IFRS'!G72,IF('Broker Actual'!G72="-",'GAAP-IFRS'!G72,'Broker Actual'!G72))</f>
        <v>0</v>
      </c>
      <c r="E243" s="140">
        <f>CHOOSE(IF($B$1=2,2,1),'GAAP-IFRS'!H72,IF('Broker Actual'!H72="-",'GAAP-IFRS'!H72,'Broker Actual'!H72))</f>
        <v>0</v>
      </c>
      <c r="F243" s="140">
        <f>CHOOSE(IF($B$1=2,2,1),'GAAP-IFRS'!I72,IF('Broker Actual'!I72="-",'GAAP-IFRS'!I72,'Broker Actual'!I72))</f>
        <v>7.2969999999999997</v>
      </c>
      <c r="G243" s="140">
        <f>CHOOSE(IF($B$1=2,2,1),'GAAP-IFRS'!J72,IF('Broker Actual'!J72="-",'GAAP-IFRS'!J72,'Broker Actual'!J72))</f>
        <v>97.66</v>
      </c>
      <c r="H243" s="140">
        <f>CHOOSE(IF($B$1=2,2,1),'GAAP-IFRS'!K72,IF('Broker Actual'!K72="-",'GAAP-IFRS'!K72,'Broker Actual'!K72))</f>
        <v>4.7679999999999998</v>
      </c>
      <c r="I243" s="140">
        <f>CHOOSE(IF($B$1=2,2,1),'GAAP-IFRS'!L72,IF('Broker Actual'!L72="-",'GAAP-IFRS'!L72,'Broker Actual'!L72))</f>
        <v>-82.027000000000001</v>
      </c>
      <c r="J243" s="140">
        <f>CHOOSE(IF($B$1=2,2,1),'GAAP-IFRS'!M72,IF('Broker Actual'!M72="-",'GAAP-IFRS'!M72,'Broker Actual'!M72))</f>
        <v>2.3279999999999998</v>
      </c>
      <c r="K243" s="140">
        <f>CHOOSE(IF($B$1=2,2,1),'GAAP-IFRS'!N72,IF('Broker Actual'!N72="-",'GAAP-IFRS'!N72,'Broker Actual'!N72))</f>
        <v>-9.7200000000000006</v>
      </c>
      <c r="L243" s="140">
        <f>CHOOSE(IF($B$1=2,2,1),'GAAP-IFRS'!O72,IF('Broker Actual'!O72="-",'GAAP-IFRS'!O72,'Broker Actual'!O72))</f>
        <v>150.44999999999999</v>
      </c>
      <c r="M243" s="141">
        <f>-M236*M237</f>
        <v>-21.003993989500128</v>
      </c>
      <c r="N243" s="141">
        <f>-N236*N237</f>
        <v>-50.772693944093511</v>
      </c>
      <c r="O243" s="141">
        <f>-O236*O237</f>
        <v>-57.767515017750227</v>
      </c>
      <c r="P243" s="141">
        <f>-P236*P237</f>
        <v>-66.687069839107195</v>
      </c>
      <c r="Q243" s="141">
        <f>-Q236*Q237</f>
        <v>-77.14687665836243</v>
      </c>
      <c r="R243" s="124"/>
      <c r="S243" s="124"/>
      <c r="T243" s="124"/>
      <c r="U243" s="124"/>
      <c r="V243" s="124"/>
      <c r="W243" s="125"/>
      <c r="X243" s="126"/>
      <c r="Y243" s="126"/>
      <c r="Z243" s="124"/>
      <c r="AA243" s="124"/>
      <c r="AB243" s="124"/>
      <c r="AC243" s="124"/>
      <c r="AD243" s="124"/>
      <c r="AE243" s="127"/>
    </row>
    <row r="244" spans="1:31" outlineLevel="1" x14ac:dyDescent="0.3">
      <c r="A244" s="79" t="s">
        <v>187</v>
      </c>
      <c r="B244" s="140">
        <f>CHOOSE(IF($B$1=2,2,1),'GAAP-IFRS'!E73,IF('Broker Actual'!E73="-",'GAAP-IFRS'!E73,'Broker Actual'!E73))</f>
        <v>32.234000000000002</v>
      </c>
      <c r="C244" s="140">
        <f>CHOOSE(IF($B$1=2,2,1),'GAAP-IFRS'!F73,IF('Broker Actual'!F73="-",'GAAP-IFRS'!F73,'Broker Actual'!F73))</f>
        <v>-30.885999999999999</v>
      </c>
      <c r="D244" s="140">
        <f>CHOOSE(IF($B$1=2,2,1),'GAAP-IFRS'!G73,IF('Broker Actual'!G73="-",'GAAP-IFRS'!G73,'Broker Actual'!G73))</f>
        <v>-38.905999999999999</v>
      </c>
      <c r="E244" s="140">
        <f>CHOOSE(IF($B$1=2,2,1),'GAAP-IFRS'!H73,IF('Broker Actual'!H73="-",'GAAP-IFRS'!H73,'Broker Actual'!H73))</f>
        <v>-2.1389999999999998</v>
      </c>
      <c r="F244" s="140">
        <f>CHOOSE(IF($B$1=2,2,1),'GAAP-IFRS'!I73,IF('Broker Actual'!I73="-",'GAAP-IFRS'!I73,'Broker Actual'!I73))</f>
        <v>-20.34</v>
      </c>
      <c r="G244" s="140">
        <f>CHOOSE(IF($B$1=2,2,1),'GAAP-IFRS'!J73,IF('Broker Actual'!J73="-",'GAAP-IFRS'!J73,'Broker Actual'!J73))</f>
        <v>-45.796999999999997</v>
      </c>
      <c r="H244" s="140">
        <f>CHOOSE(IF($B$1=2,2,1),'GAAP-IFRS'!K73,IF('Broker Actual'!K73="-",'GAAP-IFRS'!K73,'Broker Actual'!K73))</f>
        <v>-21.166</v>
      </c>
      <c r="I244" s="140">
        <f>CHOOSE(IF($B$1=2,2,1),'GAAP-IFRS'!L73,IF('Broker Actual'!L73="-",'GAAP-IFRS'!L73,'Broker Actual'!L73))</f>
        <v>-19.991</v>
      </c>
      <c r="J244" s="140">
        <f>CHOOSE(IF($B$1=2,2,1),'GAAP-IFRS'!M73,IF('Broker Actual'!M73="-",'GAAP-IFRS'!M73,'Broker Actual'!M73))</f>
        <v>-6.6449999999999996</v>
      </c>
      <c r="K244" s="140">
        <f>CHOOSE(IF($B$1=2,2,1),'GAAP-IFRS'!N73,IF('Broker Actual'!N73="-",'GAAP-IFRS'!N73,'Broker Actual'!N73))</f>
        <v>-1.3140000000000001</v>
      </c>
      <c r="L244" s="140">
        <f>CHOOSE(IF($B$1=2,2,1),'GAAP-IFRS'!O73,IF('Broker Actual'!O73="-",'GAAP-IFRS'!O73,'Broker Actual'!O73))</f>
        <v>-88.311999999999998</v>
      </c>
      <c r="M244" s="141">
        <f>-M236*M238</f>
        <v>-2.333777109944458</v>
      </c>
      <c r="N244" s="141">
        <f>-N236*N238</f>
        <v>-5.6414104382326107</v>
      </c>
      <c r="O244" s="141">
        <f>-O236*O238</f>
        <v>-6.4186127797500232</v>
      </c>
      <c r="P244" s="141">
        <f>-P236*P238</f>
        <v>-7.4096744265674639</v>
      </c>
      <c r="Q244" s="141">
        <f>-Q236*Q238</f>
        <v>-8.5718751842624901</v>
      </c>
      <c r="R244" s="124"/>
      <c r="S244" s="124"/>
      <c r="T244" s="124"/>
      <c r="U244" s="124"/>
      <c r="V244" s="124"/>
      <c r="W244" s="125"/>
      <c r="X244" s="126"/>
      <c r="Y244" s="126"/>
      <c r="Z244" s="124"/>
      <c r="AA244" s="124"/>
      <c r="AB244" s="124"/>
      <c r="AC244" s="124"/>
      <c r="AD244" s="124"/>
      <c r="AE244" s="127"/>
    </row>
    <row r="245" spans="1:31" outlineLevel="1" x14ac:dyDescent="0.3">
      <c r="A245" s="79" t="s">
        <v>163</v>
      </c>
      <c r="B245" s="140">
        <f>CHOOSE(IF($B$1=2,2,1),'GAAP-IFRS'!E74,IF('Broker Actual'!E74="-",'GAAP-IFRS'!E74,'Broker Actual'!E74))</f>
        <v>1.161</v>
      </c>
      <c r="C245" s="140">
        <f>CHOOSE(IF($B$1=2,2,1),'GAAP-IFRS'!F74,IF('Broker Actual'!F74="-",'GAAP-IFRS'!F74,'Broker Actual'!F74))</f>
        <v>1.06</v>
      </c>
      <c r="D245" s="140">
        <f>CHOOSE(IF($B$1=2,2,1),'GAAP-IFRS'!G74,IF('Broker Actual'!G74="-",'GAAP-IFRS'!G74,'Broker Actual'!G74))</f>
        <v>2.08</v>
      </c>
      <c r="E245" s="140">
        <f>CHOOSE(IF($B$1=2,2,1),'GAAP-IFRS'!H74,IF('Broker Actual'!H74="-",'GAAP-IFRS'!H74,'Broker Actual'!H74))</f>
        <v>2.2949999999999999</v>
      </c>
      <c r="F245" s="140">
        <f>CHOOSE(IF($B$1=2,2,1),'GAAP-IFRS'!I74,IF('Broker Actual'!I74="-",'GAAP-IFRS'!I74,'Broker Actual'!I74))</f>
        <v>0.64100000000000001</v>
      </c>
      <c r="G245" s="140">
        <f>CHOOSE(IF($B$1=2,2,1),'GAAP-IFRS'!J74,IF('Broker Actual'!J74="-",'GAAP-IFRS'!J74,'Broker Actual'!J74))</f>
        <v>0</v>
      </c>
      <c r="H245" s="140">
        <f>CHOOSE(IF($B$1=2,2,1),'GAAP-IFRS'!K74,IF('Broker Actual'!K74="-",'GAAP-IFRS'!K74,'Broker Actual'!K74))</f>
        <v>0</v>
      </c>
      <c r="I245" s="140">
        <f>CHOOSE(IF($B$1=2,2,1),'GAAP-IFRS'!L74,IF('Broker Actual'!L74="-",'GAAP-IFRS'!L74,'Broker Actual'!L74))</f>
        <v>0</v>
      </c>
      <c r="J245" s="140">
        <f>CHOOSE(IF($B$1=2,2,1),'GAAP-IFRS'!M74,IF('Broker Actual'!M74="-",'GAAP-IFRS'!M74,'Broker Actual'!M74))</f>
        <v>0</v>
      </c>
      <c r="K245" s="140">
        <f>CHOOSE(IF($B$1=2,2,1),'GAAP-IFRS'!N74,IF('Broker Actual'!N74="-",'GAAP-IFRS'!N74,'Broker Actual'!N74))</f>
        <v>-2.5419999999999998</v>
      </c>
      <c r="L245" s="140">
        <f>CHOOSE(IF($B$1=2,2,1),'GAAP-IFRS'!O74,IF('Broker Actual'!O74="-",'GAAP-IFRS'!O74,'Broker Actual'!O74))</f>
        <v>-5.508</v>
      </c>
      <c r="M245" s="148">
        <f>AVERAGE(H245:L245)</f>
        <v>-1.61</v>
      </c>
      <c r="N245" s="148">
        <f t="shared" ref="N245:Q245" si="121">M245</f>
        <v>-1.61</v>
      </c>
      <c r="O245" s="148">
        <f t="shared" si="121"/>
        <v>-1.61</v>
      </c>
      <c r="P245" s="148">
        <f t="shared" si="121"/>
        <v>-1.61</v>
      </c>
      <c r="Q245" s="148">
        <f t="shared" si="121"/>
        <v>-1.61</v>
      </c>
      <c r="R245" s="124"/>
      <c r="S245" s="124"/>
      <c r="T245" s="124"/>
      <c r="U245" s="124"/>
      <c r="V245" s="124"/>
      <c r="W245" s="125"/>
      <c r="X245" s="126"/>
      <c r="Y245" s="126"/>
      <c r="Z245" s="124"/>
      <c r="AA245" s="124"/>
      <c r="AB245" s="124"/>
      <c r="AC245" s="124"/>
      <c r="AD245" s="124"/>
      <c r="AE245" s="127"/>
    </row>
    <row r="246" spans="1:31" s="118" customFormat="1" outlineLevel="1" x14ac:dyDescent="0.3">
      <c r="A246" s="118" t="s">
        <v>188</v>
      </c>
      <c r="B246" s="155">
        <f>CHOOSE(IF($B$1=2,2,1),'GAAP-IFRS'!E75,IF('Broker Actual'!E75="-",'GAAP-IFRS'!E75,'Broker Actual'!E75))</f>
        <v>24.798999999999999</v>
      </c>
      <c r="C246" s="155">
        <f>CHOOSE(IF($B$1=2,2,1),'GAAP-IFRS'!F75,IF('Broker Actual'!F75="-",'GAAP-IFRS'!F75,'Broker Actual'!F75))</f>
        <v>97.751999999999995</v>
      </c>
      <c r="D246" s="155">
        <f>CHOOSE(IF($B$1=2,2,1),'GAAP-IFRS'!G75,IF('Broker Actual'!G75="-",'GAAP-IFRS'!G75,'Broker Actual'!G75))</f>
        <v>-49.414999999999999</v>
      </c>
      <c r="E246" s="155">
        <f>CHOOSE(IF($B$1=2,2,1),'GAAP-IFRS'!H75,IF('Broker Actual'!H75="-",'GAAP-IFRS'!H75,'Broker Actual'!H75))</f>
        <v>-12.272</v>
      </c>
      <c r="F246" s="155">
        <f>CHOOSE(IF($B$1=2,2,1),'GAAP-IFRS'!I75,IF('Broker Actual'!I75="-",'GAAP-IFRS'!I75,'Broker Actual'!I75))</f>
        <v>-24.84</v>
      </c>
      <c r="G246" s="155">
        <f>CHOOSE(IF($B$1=2,2,1),'GAAP-IFRS'!J75,IF('Broker Actual'!J75="-",'GAAP-IFRS'!J75,'Broker Actual'!J75))</f>
        <v>37.957000000000001</v>
      </c>
      <c r="H246" s="155">
        <f>CHOOSE(IF($B$1=2,2,1),'GAAP-IFRS'!K75,IF('Broker Actual'!K75="-",'GAAP-IFRS'!K75,'Broker Actual'!K75))</f>
        <v>-27.716000000000001</v>
      </c>
      <c r="I246" s="155">
        <f>CHOOSE(IF($B$1=2,2,1),'GAAP-IFRS'!L75,IF('Broker Actual'!L75="-",'GAAP-IFRS'!L75,'Broker Actual'!L75))</f>
        <v>-115.03</v>
      </c>
      <c r="J246" s="155">
        <f>CHOOSE(IF($B$1=2,2,1),'GAAP-IFRS'!M75,IF('Broker Actual'!M75="-",'GAAP-IFRS'!M75,'Broker Actual'!M75))</f>
        <v>-17.010999999999999</v>
      </c>
      <c r="K246" s="155">
        <f>CHOOSE(IF($B$1=2,2,1),'GAAP-IFRS'!N75,IF('Broker Actual'!N75="-",'GAAP-IFRS'!N75,'Broker Actual'!N75))</f>
        <v>-29.687999999999999</v>
      </c>
      <c r="L246" s="155">
        <f>CHOOSE(IF($B$1=2,2,1),'GAAP-IFRS'!O75,IF('Broker Actual'!O75="-",'GAAP-IFRS'!O75,'Broker Actual'!O75))</f>
        <v>41.396999999999998</v>
      </c>
      <c r="M246" s="156">
        <f>SUM(M241,M243,M244,M245)</f>
        <v>-40.873211165591897</v>
      </c>
      <c r="N246" s="156">
        <f t="shared" ref="N246:Q246" si="122">SUM(N241,N243,N244,N245)</f>
        <v>-73.130932236582026</v>
      </c>
      <c r="O246" s="156">
        <f t="shared" si="122"/>
        <v>-79.055195768150213</v>
      </c>
      <c r="P246" s="156">
        <f t="shared" si="122"/>
        <v>-90.436172143402871</v>
      </c>
      <c r="Q246" s="156">
        <f t="shared" si="122"/>
        <v>-103.57119455896296</v>
      </c>
      <c r="R246" s="157"/>
      <c r="S246" s="157"/>
      <c r="T246" s="157"/>
      <c r="U246" s="157"/>
      <c r="V246" s="157"/>
      <c r="W246" s="158"/>
      <c r="X246" s="159" t="s">
        <v>91</v>
      </c>
      <c r="Y246" s="159" t="s">
        <v>189</v>
      </c>
      <c r="Z246" s="157" t="str" cm="1">
        <f t="array" ref="Z246">_xll.FDSC("--",$A$1,""&amp;$X246&amp;"("&amp;$Y246&amp;","&amp;D$2&amp;",ANNUAL_ROLL,+1,0,,,'CURRENCY="&amp;$E$1&amp;"')")</f>
        <v>--</v>
      </c>
      <c r="AA246" s="157" t="str" cm="1">
        <f t="array" ref="AA246">_xll.FDSC("--",$A$1,""&amp;$X246&amp;"("&amp;$Y246&amp;","&amp;D$2&amp;",ANNUAL_ROLL,+2,0,,,'CURRENCY="&amp;$E$1&amp;"')")</f>
        <v>--</v>
      </c>
      <c r="AB246" s="157" t="str" cm="1">
        <f t="array" ref="AB246">_xll.FDSC("--",$A$1,""&amp;$X246&amp;"("&amp;$Y246&amp;","&amp;D$2&amp;",ANNUAL_ROLL,+3,0,,,'CURRENCY="&amp;$E$1&amp;"')")</f>
        <v>--</v>
      </c>
      <c r="AC246" s="157"/>
      <c r="AD246" s="157" cm="1">
        <f t="array" ref="AD246">_xll.FDSC("--",$A$1,"FF_FIN_CF(LTM_R,0,,,,"&amp;$E$1&amp;")@FF_FIN_CF(LTM_SEMI_R,0,,,,"&amp;$E$1&amp;")")</f>
        <v>-35.347000000000001</v>
      </c>
      <c r="AE246" s="160"/>
    </row>
    <row r="247" spans="1:31" outlineLevel="1" x14ac:dyDescent="0.3">
      <c r="B247" s="124"/>
      <c r="C247" s="124"/>
      <c r="D247" s="124"/>
      <c r="E247" s="124"/>
      <c r="F247" s="124"/>
      <c r="G247" s="124"/>
      <c r="H247" s="124"/>
      <c r="I247" s="124"/>
      <c r="J247" s="124"/>
      <c r="K247" s="124"/>
      <c r="L247" s="124"/>
      <c r="M247" s="124"/>
      <c r="N247" s="124"/>
      <c r="O247" s="124"/>
      <c r="P247" s="124"/>
      <c r="Q247" s="124"/>
      <c r="R247" s="124"/>
      <c r="S247" s="124"/>
      <c r="T247" s="124"/>
      <c r="U247" s="124"/>
      <c r="V247" s="124"/>
      <c r="W247" s="125"/>
      <c r="X247" s="126"/>
      <c r="Y247" s="126"/>
      <c r="Z247" s="124"/>
      <c r="AA247" s="124"/>
      <c r="AB247" s="124"/>
      <c r="AC247" s="124"/>
      <c r="AD247" s="124"/>
      <c r="AE247" s="127"/>
    </row>
    <row r="248" spans="1:31" outlineLevel="1" x14ac:dyDescent="0.3">
      <c r="A248" s="118" t="s">
        <v>190</v>
      </c>
      <c r="B248" s="140"/>
      <c r="C248" s="140"/>
      <c r="D248" s="140"/>
      <c r="E248" s="140"/>
      <c r="F248" s="140"/>
      <c r="G248" s="140"/>
      <c r="H248" s="140"/>
      <c r="I248" s="140"/>
      <c r="J248" s="140"/>
      <c r="K248" s="140"/>
      <c r="L248" s="140"/>
      <c r="M248" s="124"/>
      <c r="N248" s="124"/>
      <c r="O248" s="124"/>
      <c r="P248" s="124"/>
      <c r="Q248" s="124"/>
      <c r="R248" s="124"/>
      <c r="S248" s="124"/>
      <c r="T248" s="124"/>
      <c r="U248" s="124"/>
      <c r="V248" s="124"/>
      <c r="W248" s="190"/>
      <c r="X248" s="126"/>
      <c r="Y248" s="126"/>
      <c r="Z248" s="124"/>
      <c r="AA248" s="124"/>
      <c r="AB248" s="124"/>
      <c r="AC248" s="124"/>
      <c r="AD248" s="124"/>
      <c r="AE248" s="127"/>
    </row>
    <row r="249" spans="1:31" outlineLevel="1" x14ac:dyDescent="0.3">
      <c r="A249" s="79" t="s">
        <v>191</v>
      </c>
      <c r="B249" s="140">
        <f>CHOOSE(IF($B$1=2,2,1),'GAAP-IFRS'!E78,IF('Broker Actual'!E78="-",'GAAP-IFRS'!E78,'Broker Actual'!E78))</f>
        <v>5.0000000000000001E-3</v>
      </c>
      <c r="C249" s="140" t="str">
        <f>CHOOSE(IF($B$1=2,2,1),'GAAP-IFRS'!F78,IF('Broker Actual'!F78="-",'GAAP-IFRS'!F78,'Broker Actual'!F78))</f>
        <v/>
      </c>
      <c r="D249" s="140">
        <f>CHOOSE(IF($B$1=2,2,1),'GAAP-IFRS'!G78,IF('Broker Actual'!G78="-",'GAAP-IFRS'!G78,'Broker Actual'!G78))</f>
        <v>-2.9000000000000001E-2</v>
      </c>
      <c r="E249" s="140">
        <f>CHOOSE(IF($B$1=2,2,1),'GAAP-IFRS'!H78,IF('Broker Actual'!H78="-",'GAAP-IFRS'!H78,'Broker Actual'!H78))</f>
        <v>-6.0999999999999999E-2</v>
      </c>
      <c r="F249" s="140">
        <f>CHOOSE(IF($B$1=2,2,1),'GAAP-IFRS'!I78,IF('Broker Actual'!I78="-",'GAAP-IFRS'!I78,'Broker Actual'!I78))</f>
        <v>3.0000000000000001E-3</v>
      </c>
      <c r="G249" s="140">
        <f>CHOOSE(IF($B$1=2,2,1),'GAAP-IFRS'!J78,IF('Broker Actual'!J78="-",'GAAP-IFRS'!J78,'Broker Actual'!J78))</f>
        <v>6.0999999999999999E-2</v>
      </c>
      <c r="H249" s="140">
        <f>CHOOSE(IF($B$1=2,2,1),'GAAP-IFRS'!K78,IF('Broker Actual'!K78="-",'GAAP-IFRS'!K78,'Broker Actual'!K78))</f>
        <v>-0.16400000000000001</v>
      </c>
      <c r="I249" s="140">
        <f>CHOOSE(IF($B$1=2,2,1),'GAAP-IFRS'!L78,IF('Broker Actual'!L78="-",'GAAP-IFRS'!L78,'Broker Actual'!L78))</f>
        <v>-2.1999999999999999E-2</v>
      </c>
      <c r="J249" s="140">
        <f>CHOOSE(IF($B$1=2,2,1),'GAAP-IFRS'!M78,IF('Broker Actual'!M78="-",'GAAP-IFRS'!M78,'Broker Actual'!M78))</f>
        <v>2E-3</v>
      </c>
      <c r="K249" s="140">
        <f>CHOOSE(IF($B$1=2,2,1),'GAAP-IFRS'!N78,IF('Broker Actual'!N78="-",'GAAP-IFRS'!N78,'Broker Actual'!N78))</f>
        <v>-5.3999999999999999E-2</v>
      </c>
      <c r="L249" s="140">
        <f>CHOOSE(IF($B$1=2,2,1),'GAAP-IFRS'!O78,IF('Broker Actual'!O78="-",'GAAP-IFRS'!O78,'Broker Actual'!O78))</f>
        <v>-9.8000000000000004E-2</v>
      </c>
      <c r="M249" s="124"/>
      <c r="N249" s="124"/>
      <c r="O249" s="124"/>
      <c r="P249" s="124"/>
      <c r="Q249" s="124"/>
      <c r="R249" s="124"/>
      <c r="S249" s="124"/>
      <c r="T249" s="124"/>
      <c r="U249" s="124"/>
      <c r="V249" s="124"/>
      <c r="W249" s="125"/>
      <c r="X249" s="126"/>
      <c r="Y249" s="126"/>
      <c r="Z249" s="124"/>
      <c r="AA249" s="124"/>
      <c r="AB249" s="124"/>
      <c r="AC249" s="124"/>
      <c r="AD249" s="124" cm="1">
        <f t="array" ref="AD249">_xll.FDSC("--",$A$1,"FF_FOR_EXCH_CF(LTM_R,0,,,,"&amp;$E$1&amp;")@FF_FOR_EXCH_CF(LTM_SEMI_R,0,,,,"&amp;$E$1&amp;")")</f>
        <v>-4.3999999999999997E-2</v>
      </c>
      <c r="AE249" s="127"/>
    </row>
    <row r="250" spans="1:31" outlineLevel="1" x14ac:dyDescent="0.3">
      <c r="A250" s="79" t="s">
        <v>192</v>
      </c>
      <c r="B250" s="140">
        <f>CHOOSE(IF($B$1=2,2,1),'GAAP-IFRS'!E79,IF('Broker Actual'!E79="-",'GAAP-IFRS'!E79,'Broker Actual'!E79))</f>
        <v>129.85900000000001</v>
      </c>
      <c r="C250" s="140">
        <f>CHOOSE(IF($B$1=2,2,1),'GAAP-IFRS'!F79,IF('Broker Actual'!F79="-",'GAAP-IFRS'!F79,'Broker Actual'!F79))</f>
        <v>63.183999999999997</v>
      </c>
      <c r="D250" s="140">
        <f>CHOOSE(IF($B$1=2,2,1),'GAAP-IFRS'!G79,IF('Broker Actual'!G79="-",'GAAP-IFRS'!G79,'Broker Actual'!G79))</f>
        <v>21.318000000000001</v>
      </c>
      <c r="E250" s="140">
        <f>CHOOSE(IF($B$1=2,2,1),'GAAP-IFRS'!H79,IF('Broker Actual'!H79="-",'GAAP-IFRS'!H79,'Broker Actual'!H79))</f>
        <v>-46.677999999999997</v>
      </c>
      <c r="F250" s="140">
        <f>CHOOSE(IF($B$1=2,2,1),'GAAP-IFRS'!I79,IF('Broker Actual'!I79="-",'GAAP-IFRS'!I79,'Broker Actual'!I79))</f>
        <v>12.792999999999999</v>
      </c>
      <c r="G250" s="140">
        <f>CHOOSE(IF($B$1=2,2,1),'GAAP-IFRS'!J79,IF('Broker Actual'!J79="-",'GAAP-IFRS'!J79,'Broker Actual'!J79))</f>
        <v>-24.646999999999998</v>
      </c>
      <c r="H250" s="140">
        <f>CHOOSE(IF($B$1=2,2,1),'GAAP-IFRS'!K79,IF('Broker Actual'!K79="-",'GAAP-IFRS'!K79,'Broker Actual'!K79))</f>
        <v>-16.535</v>
      </c>
      <c r="I250" s="140">
        <f>CHOOSE(IF($B$1=2,2,1),'GAAP-IFRS'!L79,IF('Broker Actual'!L79="-",'GAAP-IFRS'!L79,'Broker Actual'!L79))</f>
        <v>-10.24</v>
      </c>
      <c r="J250" s="140">
        <f>CHOOSE(IF($B$1=2,2,1),'GAAP-IFRS'!M79,IF('Broker Actual'!M79="-",'GAAP-IFRS'!M79,'Broker Actual'!M79))</f>
        <v>203.82300000000001</v>
      </c>
      <c r="K250" s="140">
        <f>CHOOSE(IF($B$1=2,2,1),'GAAP-IFRS'!N79,IF('Broker Actual'!N79="-",'GAAP-IFRS'!N79,'Broker Actual'!N79))</f>
        <v>197.602</v>
      </c>
      <c r="L250" s="140">
        <f>CHOOSE(IF($B$1=2,2,1),'GAAP-IFRS'!O79,IF('Broker Actual'!O79="-",'GAAP-IFRS'!O79,'Broker Actual'!O79))</f>
        <v>-393.58</v>
      </c>
      <c r="M250" s="124"/>
      <c r="N250" s="124"/>
      <c r="O250" s="124"/>
      <c r="P250" s="124"/>
      <c r="Q250" s="124"/>
      <c r="R250" s="124"/>
      <c r="S250" s="124"/>
      <c r="T250" s="124"/>
      <c r="U250" s="124"/>
      <c r="V250" s="124"/>
      <c r="W250" s="125"/>
      <c r="X250" s="126"/>
      <c r="Y250" s="126"/>
      <c r="Z250" s="124"/>
      <c r="AA250" s="124"/>
      <c r="AB250" s="124"/>
      <c r="AC250" s="124"/>
      <c r="AD250" s="124" cm="1">
        <f t="array" ref="AD250">_xll.FDSC("--",$A$1,"FF_CHG_CASH_CF(LTM_R,0,,,,"&amp;$E$1&amp;")@FF_CHG_CASH_CF(LTM_SEMI_R,0,,,,"&amp;$E$1&amp;")")</f>
        <v>-66.11</v>
      </c>
      <c r="AE250" s="127"/>
    </row>
    <row r="251" spans="1:31" outlineLevel="1" x14ac:dyDescent="0.3">
      <c r="A251" s="79" t="s">
        <v>193</v>
      </c>
      <c r="B251" s="140">
        <f>CHOOSE(IF($B$1=2,2,1),'GAAP-IFRS'!E80,IF('Broker Actual'!E80="-",'GAAP-IFRS'!E80,'Broker Actual'!E80))</f>
        <v>96.509</v>
      </c>
      <c r="C251" s="140">
        <f>CHOOSE(IF($B$1=2,2,1),'GAAP-IFRS'!F80,IF('Broker Actual'!F80="-",'GAAP-IFRS'!F80,'Broker Actual'!F80))</f>
        <v>41.137</v>
      </c>
      <c r="D251" s="140">
        <f>CHOOSE(IF($B$1=2,2,1),'GAAP-IFRS'!G80,IF('Broker Actual'!G80="-",'GAAP-IFRS'!G80,'Broker Actual'!G80))</f>
        <v>76.605999999999995</v>
      </c>
      <c r="E251" s="140">
        <f>CHOOSE(IF($B$1=2,2,1),'GAAP-IFRS'!H80,IF('Broker Actual'!H80="-",'GAAP-IFRS'!H80,'Broker Actual'!H80))</f>
        <v>32.761000000000003</v>
      </c>
      <c r="F251" s="140">
        <f>CHOOSE(IF($B$1=2,2,1),'GAAP-IFRS'!I80,IF('Broker Actual'!I80="-",'GAAP-IFRS'!I80,'Broker Actual'!I80))</f>
        <v>75.418999999999997</v>
      </c>
      <c r="G251" s="140">
        <f>CHOOSE(IF($B$1=2,2,1),'GAAP-IFRS'!J80,IF('Broker Actual'!J80="-",'GAAP-IFRS'!J80,'Broker Actual'!J80))</f>
        <v>13.428000000000001</v>
      </c>
      <c r="H251" s="140">
        <f>CHOOSE(IF($B$1=2,2,1),'GAAP-IFRS'!K80,IF('Broker Actual'!K80="-",'GAAP-IFRS'!K80,'Broker Actual'!K80))</f>
        <v>16.91</v>
      </c>
      <c r="I251" s="140">
        <f>CHOOSE(IF($B$1=2,2,1),'GAAP-IFRS'!L80,IF('Broker Actual'!L80="-",'GAAP-IFRS'!L80,'Broker Actual'!L80))</f>
        <v>40.575000000000003</v>
      </c>
      <c r="J251" s="140">
        <f>CHOOSE(IF($B$1=2,2,1),'GAAP-IFRS'!M80,IF('Broker Actual'!M80="-",'GAAP-IFRS'!M80,'Broker Actual'!M80))</f>
        <v>60.572000000000003</v>
      </c>
      <c r="K251" s="140">
        <f>CHOOSE(IF($B$1=2,2,1),'GAAP-IFRS'!N80,IF('Broker Actual'!N80="-",'GAAP-IFRS'!N80,'Broker Actual'!N80))</f>
        <v>84.706000000000003</v>
      </c>
      <c r="L251" s="140">
        <f>CHOOSE(IF($B$1=2,2,1),'GAAP-IFRS'!O80,IF('Broker Actual'!O80="-",'GAAP-IFRS'!O80,'Broker Actual'!O80))</f>
        <v>-15.798999999999999</v>
      </c>
      <c r="M251" s="124"/>
      <c r="N251" s="124"/>
      <c r="O251" s="124"/>
      <c r="P251" s="124"/>
      <c r="Q251" s="124"/>
      <c r="R251" s="124"/>
      <c r="S251" s="124"/>
      <c r="T251" s="124"/>
      <c r="U251" s="124"/>
      <c r="V251" s="124"/>
      <c r="W251" s="125"/>
      <c r="X251" s="126" t="s">
        <v>91</v>
      </c>
      <c r="Y251" s="126" t="s">
        <v>194</v>
      </c>
      <c r="Z251" s="124" t="str" cm="1">
        <f t="array" ref="Z251">_xll.FDSC("--",$A$1,""&amp;$X251&amp;"("&amp;$Y251&amp;","&amp;D$2&amp;",ANNUAL_ROLL,+1,0,,,'CURRENCY="&amp;$E$1&amp;"')")</f>
        <v>--</v>
      </c>
      <c r="AA251" s="124" t="str" cm="1">
        <f t="array" ref="AA251">_xll.FDSC("--",$A$1,""&amp;$X251&amp;"("&amp;$Y251&amp;","&amp;D$2&amp;",ANNUAL_ROLL,+2,0,,,'CURRENCY="&amp;$E$1&amp;"')")</f>
        <v>--</v>
      </c>
      <c r="AB251" s="124" t="str" cm="1">
        <f t="array" ref="AB251">_xll.FDSC("--",$A$1,""&amp;$X251&amp;"("&amp;$Y251&amp;","&amp;D$2&amp;",ANNUAL_ROLL,+3,0,,,'CURRENCY="&amp;$E$1&amp;"')")</f>
        <v>--</v>
      </c>
      <c r="AC251" s="124"/>
      <c r="AD251" s="124" cm="1">
        <f t="array" ref="AD251">_xll.FDSC("--",$A$1,"FF_FREE_CF(LTM_R,0,,,,"&amp;$E$1&amp;")@FF_FREE_CF(LTM_SEMI_R,0,,,,"&amp;$E$1&amp;")")</f>
        <v>-28.404</v>
      </c>
      <c r="AE251" s="127"/>
    </row>
    <row r="252" spans="1:31" outlineLevel="1" x14ac:dyDescent="0.3">
      <c r="A252" s="79" t="s">
        <v>195</v>
      </c>
      <c r="B252" s="192">
        <f>CHOOSE(IF($B$1=2,2,1),'GAAP-IFRS'!E81,IF('Broker Actual'!E81="-",'GAAP-IFRS'!E81,'Broker Actual'!E81))</f>
        <v>9.8348109650463709</v>
      </c>
      <c r="C252" s="192">
        <f>CHOOSE(IF($B$1=2,2,1),'GAAP-IFRS'!F81,IF('Broker Actual'!F81="-",'GAAP-IFRS'!F81,'Broker Actual'!F81))</f>
        <v>3.69870526883654</v>
      </c>
      <c r="D252" s="192">
        <f>CHOOSE(IF($B$1=2,2,1),'GAAP-IFRS'!G81,IF('Broker Actual'!G81="-",'GAAP-IFRS'!G81,'Broker Actual'!G81))</f>
        <v>6.55088079356935</v>
      </c>
      <c r="E252" s="192">
        <f>CHOOSE(IF($B$1=2,2,1),'GAAP-IFRS'!H81,IF('Broker Actual'!H81="-",'GAAP-IFRS'!H81,'Broker Actual'!H81))</f>
        <v>2.88516072214883</v>
      </c>
      <c r="F252" s="192">
        <f>CHOOSE(IF($B$1=2,2,1),'GAAP-IFRS'!I81,IF('Broker Actual'!I81="-",'GAAP-IFRS'!I81,'Broker Actual'!I81))</f>
        <v>6.93635611146878</v>
      </c>
      <c r="G252" s="192">
        <f>CHOOSE(IF($B$1=2,2,1),'GAAP-IFRS'!J81,IF('Broker Actual'!J81="-",'GAAP-IFRS'!J81,'Broker Actual'!J81))</f>
        <v>1.5690581911661601</v>
      </c>
      <c r="H252" s="192">
        <f>CHOOSE(IF($B$1=2,2,1),'GAAP-IFRS'!K81,IF('Broker Actual'!K81="-",'GAAP-IFRS'!K81,'Broker Actual'!K81))</f>
        <v>2.1418619379354</v>
      </c>
      <c r="I252" s="192">
        <f>CHOOSE(IF($B$1=2,2,1),'GAAP-IFRS'!L81,IF('Broker Actual'!L81="-",'GAAP-IFRS'!L81,'Broker Actual'!L81))</f>
        <v>3.9631764016409501</v>
      </c>
      <c r="J252" s="192">
        <f>CHOOSE(IF($B$1=2,2,1),'GAAP-IFRS'!M81,IF('Broker Actual'!M81="-",'GAAP-IFRS'!M81,'Broker Actual'!M81))</f>
        <v>6.2484010728285497</v>
      </c>
      <c r="K252" s="192">
        <f>CHOOSE(IF($B$1=2,2,1),'GAAP-IFRS'!N81,IF('Broker Actual'!N81="-",'GAAP-IFRS'!N81,'Broker Actual'!N81))</f>
        <v>9.8724941724941697</v>
      </c>
      <c r="L252" s="192">
        <f>CHOOSE(IF($B$1=2,2,1),'GAAP-IFRS'!O81,IF('Broker Actual'!O81="-",'GAAP-IFRS'!O81,'Broker Actual'!O81))</f>
        <v>-1.7918793240331199</v>
      </c>
    </row>
    <row r="253" spans="1:31" outlineLevel="1" x14ac:dyDescent="0.3">
      <c r="A253" s="79" t="s">
        <v>196</v>
      </c>
      <c r="B253" s="130">
        <f>B252/B57</f>
        <v>4.2099812784061996E-2</v>
      </c>
      <c r="C253" s="130">
        <f t="shared" ref="C253:L253" si="123">C252/C$57</f>
        <v>1.5341722810079889E-2</v>
      </c>
      <c r="D253" s="130">
        <f t="shared" si="123"/>
        <v>2.4617376379399904E-2</v>
      </c>
      <c r="E253" s="130">
        <f t="shared" si="123"/>
        <v>1.0089667923808297E-2</v>
      </c>
      <c r="F253" s="130">
        <f t="shared" si="123"/>
        <v>2.6229763775851324E-2</v>
      </c>
      <c r="G253" s="130">
        <f t="shared" si="123"/>
        <v>6.4198840910867985E-3</v>
      </c>
      <c r="H253" s="130">
        <f t="shared" si="123"/>
        <v>9.2604237843738647E-3</v>
      </c>
      <c r="I253" s="130">
        <f t="shared" si="123"/>
        <v>1.6344747897263007E-2</v>
      </c>
      <c r="J253" s="130">
        <f t="shared" si="123"/>
        <v>2.0127758845848109E-2</v>
      </c>
      <c r="K253" s="130">
        <f t="shared" si="123"/>
        <v>2.4202331790922543E-2</v>
      </c>
      <c r="L253" s="130">
        <f t="shared" si="123"/>
        <v>-3.5868935930665801E-3</v>
      </c>
    </row>
    <row r="254" spans="1:31" outlineLevel="1" x14ac:dyDescent="0.3">
      <c r="B254" s="193"/>
      <c r="C254" s="193"/>
      <c r="D254" s="193"/>
      <c r="E254" s="193"/>
      <c r="F254" s="193"/>
      <c r="G254" s="193"/>
      <c r="H254" s="193"/>
      <c r="I254" s="193"/>
    </row>
    <row r="255" spans="1:31" outlineLevel="1" x14ac:dyDescent="0.3">
      <c r="B255" s="193"/>
      <c r="C255" s="193"/>
      <c r="D255" s="193"/>
      <c r="E255" s="193"/>
      <c r="F255" s="193"/>
      <c r="G255" s="193"/>
      <c r="H255" s="193"/>
    </row>
    <row r="256" spans="1:31" outlineLevel="1" x14ac:dyDescent="0.3">
      <c r="B256" s="193"/>
      <c r="C256" s="193"/>
      <c r="D256" s="193"/>
      <c r="E256" s="193"/>
      <c r="F256" s="193"/>
      <c r="G256" s="193"/>
      <c r="H256" s="193"/>
      <c r="L256" s="128"/>
    </row>
    <row r="257" spans="1:1" outlineLevel="1" x14ac:dyDescent="0.3"/>
    <row r="258" spans="1:1" outlineLevel="1" x14ac:dyDescent="0.3"/>
    <row r="259" spans="1:1" outlineLevel="1" x14ac:dyDescent="0.3"/>
    <row r="260" spans="1:1" outlineLevel="1" x14ac:dyDescent="0.3"/>
    <row r="261" spans="1:1" outlineLevel="1" x14ac:dyDescent="0.3"/>
    <row r="262" spans="1:1" outlineLevel="1" x14ac:dyDescent="0.3"/>
    <row r="263" spans="1:1" outlineLevel="1" x14ac:dyDescent="0.3"/>
    <row r="264" spans="1:1" outlineLevel="1" x14ac:dyDescent="0.3"/>
    <row r="265" spans="1:1" outlineLevel="1" x14ac:dyDescent="0.3"/>
    <row r="266" spans="1:1" outlineLevel="1" x14ac:dyDescent="0.3"/>
    <row r="267" spans="1:1" outlineLevel="1" x14ac:dyDescent="0.3">
      <c r="A267" s="118"/>
    </row>
  </sheetData>
  <conditionalFormatting sqref="B57:L57 B107:L107 B114:L114 B116:L117 B121:L121 B123:L123 B128:L128 B135:L135 B137:L137 B154:L154">
    <cfRule type="expression" dxfId="123" priority="35">
      <formula>$B$1=2</formula>
    </cfRule>
  </conditionalFormatting>
  <conditionalFormatting sqref="B105:L105">
    <cfRule type="expression" dxfId="121" priority="3">
      <formula>$B$1=1</formula>
    </cfRule>
    <cfRule type="expression" dxfId="120" priority="4">
      <formula>$B$1=2</formula>
    </cfRule>
  </conditionalFormatting>
  <conditionalFormatting sqref="B154:L155">
    <cfRule type="expression" dxfId="114" priority="26">
      <formula>$B$1=1</formula>
    </cfRule>
  </conditionalFormatting>
  <conditionalFormatting sqref="B155:L155">
    <cfRule type="expression" dxfId="113" priority="27">
      <formula>$B$1=2</formula>
    </cfRule>
  </conditionalFormatting>
  <conditionalFormatting sqref="B157:L157">
    <cfRule type="expression" dxfId="112" priority="24">
      <formula>$B$1=1</formula>
    </cfRule>
    <cfRule type="expression" dxfId="111" priority="25">
      <formula>$B$1=2</formula>
    </cfRule>
  </conditionalFormatting>
  <conditionalFormatting sqref="B159:L162 B164:L164">
    <cfRule type="expression" dxfId="109" priority="22">
      <formula>$B$1=1</formula>
    </cfRule>
    <cfRule type="expression" dxfId="108" priority="23">
      <formula>$B$1=2</formula>
    </cfRule>
  </conditionalFormatting>
  <conditionalFormatting sqref="B208:L209 B211:L211">
    <cfRule type="expression" dxfId="106" priority="16">
      <formula>$B$1=1</formula>
    </cfRule>
    <cfRule type="expression" dxfId="105" priority="17">
      <formula>$B$1=2</formula>
    </cfRule>
  </conditionalFormatting>
  <conditionalFormatting sqref="B213:L213 B228:L229">
    <cfRule type="expression" dxfId="104" priority="41">
      <formula>$B$1=2</formula>
    </cfRule>
  </conditionalFormatting>
  <conditionalFormatting sqref="B215:L215">
    <cfRule type="expression" dxfId="102" priority="57">
      <formula>$B$1=2</formula>
    </cfRule>
  </conditionalFormatting>
  <conditionalFormatting sqref="B217:L217 B57:L57 B107:L107 B114:L114 B116:L117 B121:L121 B123:L123 B128:L128 B135:L135 B137:L137 B213:L213 B215:L215 B219:L219">
    <cfRule type="expression" dxfId="101" priority="34">
      <formula>$B$1=1</formula>
    </cfRule>
  </conditionalFormatting>
  <conditionalFormatting sqref="B219:L219">
    <cfRule type="expression" dxfId="99" priority="55">
      <formula>$B$1=2</formula>
    </cfRule>
  </conditionalFormatting>
  <conditionalFormatting sqref="B222:L222">
    <cfRule type="expression" dxfId="97" priority="1">
      <formula>$B$1=2</formula>
    </cfRule>
    <cfRule type="expression" dxfId="96" priority="2">
      <formula>$B$1=1</formula>
    </cfRule>
  </conditionalFormatting>
  <conditionalFormatting sqref="B224:L228 B230:L231 B217:L217">
    <cfRule type="expression" dxfId="95" priority="14">
      <formula>$B$1=2</formula>
    </cfRule>
  </conditionalFormatting>
  <conditionalFormatting sqref="B224:L228">
    <cfRule type="expression" dxfId="93" priority="47">
      <formula>$B$1=2</formula>
    </cfRule>
  </conditionalFormatting>
  <conditionalFormatting sqref="B224:L232">
    <cfRule type="expression" dxfId="92" priority="13">
      <formula>$B$1=1</formula>
    </cfRule>
  </conditionalFormatting>
  <conditionalFormatting sqref="B225:L228">
    <cfRule type="expression" dxfId="90" priority="45">
      <formula>$B$1=2</formula>
    </cfRule>
  </conditionalFormatting>
  <conditionalFormatting sqref="B227:L227">
    <cfRule type="expression" dxfId="88" priority="43">
      <formula>$B$1=2</formula>
    </cfRule>
  </conditionalFormatting>
  <conditionalFormatting sqref="B230:L230">
    <cfRule type="expression" dxfId="85" priority="51">
      <formula>$B$1=2</formula>
    </cfRule>
  </conditionalFormatting>
  <conditionalFormatting sqref="B230:L231">
    <cfRule type="expression" dxfId="83" priority="49">
      <formula>$B$1=2</formula>
    </cfRule>
  </conditionalFormatting>
  <conditionalFormatting sqref="B231:L231">
    <cfRule type="expression" dxfId="81" priority="39">
      <formula>$B$1=2</formula>
    </cfRule>
    <cfRule type="expression" dxfId="79" priority="53">
      <formula>$B$1=2</formula>
    </cfRule>
  </conditionalFormatting>
  <conditionalFormatting sqref="B232:L232">
    <cfRule type="expression" dxfId="77" priority="37">
      <formula>$B$1=2</formula>
    </cfRule>
  </conditionalFormatting>
  <conditionalFormatting sqref="B241:L241">
    <cfRule type="expression" dxfId="75" priority="10">
      <formula>$B$1=1</formula>
    </cfRule>
    <cfRule type="expression" dxfId="74" priority="11">
      <formula>$B$1=2</formula>
    </cfRule>
  </conditionalFormatting>
  <conditionalFormatting sqref="B243:L246 B249:L252">
    <cfRule type="expression" dxfId="72" priority="7">
      <formula>$B$1=1</formula>
    </cfRule>
    <cfRule type="expression" dxfId="71" priority="8">
      <formula>$B$1=2</formula>
    </cfRule>
  </conditionalFormatting>
  <conditionalFormatting sqref="M166 B166:L170 B172:L174">
    <cfRule type="expression" dxfId="69" priority="19">
      <formula>$B$1=1</formula>
    </cfRule>
    <cfRule type="expression" dxfId="68" priority="20">
      <formula>$B$1=2</formula>
    </cfRule>
  </conditionalFormatting>
  <conditionalFormatting sqref="M169:Q169">
    <cfRule type="cellIs" dxfId="67" priority="5" operator="lessThan">
      <formula>0</formula>
    </cfRule>
  </conditionalFormatting>
  <pageMargins left="0.7" right="0.7" top="0.75" bottom="0.75" header="0.3" footer="0.3"/>
  <pageSetup orientation="portrait" verticalDpi="1200" r:id="rId1"/>
  <legacy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33" id="{5B12A370-9118-458F-B1B3-17B87F8CA567}">
            <xm:f>AND($B$1=2,'Broker Actual'!E25="-")</xm:f>
            <x14:dxf>
              <font>
                <color rgb="FF00B050"/>
              </font>
            </x14:dxf>
          </x14:cfRule>
          <xm:sqref>B105:L105 B107:L107</xm:sqref>
        </x14:conditionalFormatting>
        <x14:conditionalFormatting xmlns:xm="http://schemas.microsoft.com/office/excel/2006/main">
          <x14:cfRule type="expression" priority="31" id="{0EDBA5A0-D646-48E0-AD4E-6BC40D8E41F2}">
            <xm:f>AND($B$1=2,'Broker Actual'!E17="-")</xm:f>
            <x14:dxf>
              <font>
                <color rgb="FF00B050"/>
              </font>
            </x14:dxf>
          </x14:cfRule>
          <xm:sqref>B116:L117</xm:sqref>
        </x14:conditionalFormatting>
        <x14:conditionalFormatting xmlns:xm="http://schemas.microsoft.com/office/excel/2006/main">
          <x14:cfRule type="expression" priority="30" id="{B5D587E7-DAD6-4A44-A7D3-E413419F7A2E}">
            <xm:f>AND($B$1=2,'Broker Actual'!E19="-")</xm:f>
            <x14:dxf>
              <font>
                <color rgb="FF00B050"/>
              </font>
            </x14:dxf>
          </x14:cfRule>
          <xm:sqref>B121:L121 B123:L123</xm:sqref>
        </x14:conditionalFormatting>
        <x14:conditionalFormatting xmlns:xm="http://schemas.microsoft.com/office/excel/2006/main">
          <x14:cfRule type="expression" priority="29" id="{C2F6DFDA-CA99-43D7-B380-3B679FB68095}">
            <xm:f>AND($B$1=2,'Broker Actual'!E22="-")</xm:f>
            <x14:dxf>
              <font>
                <color rgb="FF00B050"/>
              </font>
            </x14:dxf>
          </x14:cfRule>
          <xm:sqref>B128:L128</xm:sqref>
        </x14:conditionalFormatting>
        <x14:conditionalFormatting xmlns:xm="http://schemas.microsoft.com/office/excel/2006/main">
          <x14:cfRule type="expression" priority="28" id="{A413FE6E-1A4E-486D-9CE8-0067EE6668A4}">
            <xm:f>AND($B$1=2,'Broker Actual'!E24="-")</xm:f>
            <x14:dxf>
              <font>
                <color rgb="FF00B050"/>
              </font>
            </x14:dxf>
          </x14:cfRule>
          <xm:sqref>B135:L135 B137:L137</xm:sqref>
        </x14:conditionalFormatting>
        <x14:conditionalFormatting xmlns:xm="http://schemas.microsoft.com/office/excel/2006/main">
          <x14:cfRule type="expression" priority="32" id="{E27BC01E-B33B-483A-B18F-62273F3E8A54}">
            <xm:f>AND($B$1=2,'Broker Actual'!E28="-")</xm:f>
            <x14:dxf>
              <font>
                <color rgb="FF00B050"/>
              </font>
            </x14:dxf>
          </x14:cfRule>
          <xm:sqref>B154:L155 B157:L157</xm:sqref>
        </x14:conditionalFormatting>
        <x14:conditionalFormatting xmlns:xm="http://schemas.microsoft.com/office/excel/2006/main">
          <x14:cfRule type="expression" priority="21" id="{4D0AFF22-C75A-43D6-B3DC-E1A17AC3ABE3}">
            <xm:f>AND($B$1=2,'Broker Actual'!E32="-")</xm:f>
            <x14:dxf>
              <font>
                <color rgb="FF00B050"/>
              </font>
            </x14:dxf>
          </x14:cfRule>
          <xm:sqref>B159:L162 B164:L164</xm:sqref>
        </x14:conditionalFormatting>
        <x14:conditionalFormatting xmlns:xm="http://schemas.microsoft.com/office/excel/2006/main">
          <x14:cfRule type="expression" priority="15" id="{C7EB9D65-20D2-4786-8C19-3B55A9C47571}">
            <xm:f>AND($B$1=2,'Broker Actual'!E50="-")</xm:f>
            <x14:dxf>
              <font>
                <color rgb="FF00B050"/>
              </font>
            </x14:dxf>
          </x14:cfRule>
          <xm:sqref>B208:L209 B211:L211</xm:sqref>
        </x14:conditionalFormatting>
        <x14:conditionalFormatting xmlns:xm="http://schemas.microsoft.com/office/excel/2006/main">
          <x14:cfRule type="expression" priority="56" id="{321DE296-43E8-4588-B29B-8C4B1C551ED7}">
            <xm:f>AND($B$1=2,'Broker Actual'!E54="-")</xm:f>
            <x14:dxf>
              <font>
                <color rgb="FF00B050"/>
              </font>
            </x14:dxf>
          </x14:cfRule>
          <xm:sqref>B215:L215</xm:sqref>
        </x14:conditionalFormatting>
        <x14:conditionalFormatting xmlns:xm="http://schemas.microsoft.com/office/excel/2006/main">
          <x14:cfRule type="expression" priority="54" id="{E318837C-F278-4AE2-A2E0-F9D019555D8A}">
            <xm:f>AND($B$1=2,'Broker Actual'!E56="-")</xm:f>
            <x14:dxf>
              <font>
                <color rgb="FF00B050"/>
              </font>
            </x14:dxf>
          </x14:cfRule>
          <xm:sqref>B219:L219</xm:sqref>
        </x14:conditionalFormatting>
        <x14:conditionalFormatting xmlns:xm="http://schemas.microsoft.com/office/excel/2006/main">
          <x14:cfRule type="expression" priority="12" id="{574196D8-7DDB-4ED1-9687-3D18DB083C4C}">
            <xm:f>AND($B$1=2,'Broker Actual'!E55="-")</xm:f>
            <x14:dxf>
              <font>
                <color rgb="FF00B050"/>
              </font>
            </x14:dxf>
          </x14:cfRule>
          <xm:sqref>B222:L222 B217:L217 B224:L228 B230:L231</xm:sqref>
        </x14:conditionalFormatting>
        <x14:conditionalFormatting xmlns:xm="http://schemas.microsoft.com/office/excel/2006/main">
          <x14:cfRule type="expression" priority="46" id="{C4428CF6-D332-4C29-A28D-FD4A94D3380D}">
            <xm:f>AND($B$1=2,'Broker Actual'!E68="-")</xm:f>
            <x14:dxf>
              <font>
                <color rgb="FF00B050"/>
              </font>
            </x14:dxf>
          </x14:cfRule>
          <xm:sqref>B224:L228</xm:sqref>
        </x14:conditionalFormatting>
        <x14:conditionalFormatting xmlns:xm="http://schemas.microsoft.com/office/excel/2006/main">
          <x14:cfRule type="expression" priority="44" id="{13EA669B-B534-47EB-8FE7-20ABEFE7C2CB}">
            <xm:f>AND($B$1=2,'Broker Actual'!E68="-")</xm:f>
            <x14:dxf>
              <font>
                <color rgb="FF00B050"/>
              </font>
            </x14:dxf>
          </x14:cfRule>
          <xm:sqref>B225:L228</xm:sqref>
        </x14:conditionalFormatting>
        <x14:conditionalFormatting xmlns:xm="http://schemas.microsoft.com/office/excel/2006/main">
          <x14:cfRule type="expression" priority="42" id="{40FE30F4-9C5C-4A06-B6B6-FF158BC74638}">
            <xm:f>AND($B$1=2,'Broker Actual'!E68="-")</xm:f>
            <x14:dxf>
              <font>
                <color rgb="FF00B050"/>
              </font>
            </x14:dxf>
          </x14:cfRule>
          <xm:sqref>B227:L227</xm:sqref>
        </x14:conditionalFormatting>
        <x14:conditionalFormatting xmlns:xm="http://schemas.microsoft.com/office/excel/2006/main">
          <x14:cfRule type="expression" priority="40" id="{CBA15701-BC40-4457-BD8E-4F741FDEC8B4}">
            <xm:f>AND($B$1=2,'Broker Actual'!E53="-")</xm:f>
            <x14:dxf>
              <font>
                <color rgb="FF00B050"/>
              </font>
            </x14:dxf>
          </x14:cfRule>
          <xm:sqref>B228:L229 B213:L213</xm:sqref>
        </x14:conditionalFormatting>
        <x14:conditionalFormatting xmlns:xm="http://schemas.microsoft.com/office/excel/2006/main">
          <x14:cfRule type="expression" priority="50" id="{31172EA8-B290-4602-80E3-1533A03BBF9B}">
            <xm:f>AND($B$1=2,'Broker Actual'!#REF!="-")</xm:f>
            <x14:dxf>
              <font>
                <color rgb="FF00B050"/>
              </font>
            </x14:dxf>
          </x14:cfRule>
          <xm:sqref>B230:L230</xm:sqref>
        </x14:conditionalFormatting>
        <x14:conditionalFormatting xmlns:xm="http://schemas.microsoft.com/office/excel/2006/main">
          <x14:cfRule type="expression" priority="48" id="{3BFD7944-F7E3-423F-A7EE-39117541C593}">
            <xm:f>AND($B$1=2,'Broker Actual'!#REF!="-")</xm:f>
            <x14:dxf>
              <font>
                <color rgb="FF00B050"/>
              </font>
            </x14:dxf>
          </x14:cfRule>
          <xm:sqref>B230:L231</xm:sqref>
        </x14:conditionalFormatting>
        <x14:conditionalFormatting xmlns:xm="http://schemas.microsoft.com/office/excel/2006/main">
          <x14:cfRule type="expression" priority="38" id="{A6AC4C21-45AF-4EE7-8B66-9D1D091B33BA}">
            <xm:f>AND($B$1=2,'Broker Actual'!E68="-")</xm:f>
            <x14:dxf>
              <font>
                <color rgb="FF00B050"/>
              </font>
            </x14:dxf>
          </x14:cfRule>
          <x14:cfRule type="expression" priority="52" id="{A63579C8-6340-44A0-A069-BC8BDF815E50}">
            <xm:f>AND($B$1=2,'Broker Actual'!E73="-")</xm:f>
            <x14:dxf>
              <font>
                <color rgb="FF00B050"/>
              </font>
            </x14:dxf>
          </x14:cfRule>
          <xm:sqref>B231:L231</xm:sqref>
        </x14:conditionalFormatting>
        <x14:conditionalFormatting xmlns:xm="http://schemas.microsoft.com/office/excel/2006/main">
          <x14:cfRule type="expression" priority="36" id="{E30C1112-4479-4C01-92F2-443C3F56F6D7}">
            <xm:f>AND($B$1=2,'Broker Actual'!E68="-")</xm:f>
            <x14:dxf>
              <font>
                <color rgb="FF00B050"/>
              </font>
            </x14:dxf>
          </x14:cfRule>
          <xm:sqref>B232:L232</xm:sqref>
        </x14:conditionalFormatting>
        <x14:conditionalFormatting xmlns:xm="http://schemas.microsoft.com/office/excel/2006/main">
          <x14:cfRule type="expression" priority="9" id="{5B551D97-71E1-469D-993B-B1B459C23EAF}">
            <xm:f>AND($B$1=2,'Broker Actual'!E71="-")</xm:f>
            <x14:dxf>
              <font>
                <color rgb="FF00B050"/>
              </font>
            </x14:dxf>
          </x14:cfRule>
          <xm:sqref>B241:L241</xm:sqref>
        </x14:conditionalFormatting>
        <x14:conditionalFormatting xmlns:xm="http://schemas.microsoft.com/office/excel/2006/main">
          <x14:cfRule type="expression" priority="6" id="{70A1D74D-252B-480F-8C98-45AE5C61FC12}">
            <xm:f>AND($B$1=2,'Broker Actual'!E72="-")</xm:f>
            <x14:dxf>
              <font>
                <color rgb="FF00B050"/>
              </font>
            </x14:dxf>
          </x14:cfRule>
          <xm:sqref>B243:L246 B249:L252</xm:sqref>
        </x14:conditionalFormatting>
        <x14:conditionalFormatting xmlns:xm="http://schemas.microsoft.com/office/excel/2006/main">
          <x14:cfRule type="expression" priority="18" id="{BEB9CF15-1B6E-4FE6-BACA-94EB0458BAD8}">
            <xm:f>AND($B$1=2,'Broker Actual'!E38="-")</xm:f>
            <x14:dxf>
              <font>
                <color rgb="FF00B050"/>
              </font>
            </x14:dxf>
          </x14:cfRule>
          <xm:sqref>M166 B166:L170 B172:L174</xm:sqref>
        </x14:conditionalFormatting>
      </x14:conditionalFormatting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077640-A569-4484-B617-634F18628D4A}">
  <dimension ref="A1:AV267"/>
  <sheetViews>
    <sheetView showGridLines="0" zoomScale="80" zoomScaleNormal="80" workbookViewId="0">
      <pane xSplit="1" ySplit="7" topLeftCell="B8" activePane="bottomRight" state="frozen"/>
      <selection pane="topRight" activeCell="E1" sqref="E1"/>
      <selection pane="bottomLeft" activeCell="A8" sqref="A8"/>
      <selection pane="bottomRight" activeCell="B8" sqref="B8"/>
    </sheetView>
  </sheetViews>
  <sheetFormatPr defaultColWidth="10.140625" defaultRowHeight="16.5" outlineLevelRow="2" outlineLevelCol="2" x14ac:dyDescent="0.3"/>
  <cols>
    <col min="1" max="1" width="74.85546875" style="79" bestFit="1" customWidth="1"/>
    <col min="2" max="2" width="11.85546875" style="76" customWidth="1"/>
    <col min="3" max="4" width="10.85546875" style="76" bestFit="1" customWidth="1"/>
    <col min="5" max="7" width="12" style="76" bestFit="1" customWidth="1"/>
    <col min="8" max="11" width="12.85546875" style="76" bestFit="1" customWidth="1"/>
    <col min="12" max="12" width="13" style="76" customWidth="1"/>
    <col min="13" max="13" width="10.85546875" style="76" bestFit="1" customWidth="1"/>
    <col min="14" max="15" width="9.85546875" style="76" customWidth="1"/>
    <col min="16" max="17" width="9.85546875" style="76" hidden="1" customWidth="1" outlineLevel="1"/>
    <col min="18" max="22" width="12" style="76" hidden="1" customWidth="1" outlineLevel="1"/>
    <col min="23" max="23" width="25.140625" style="122" customWidth="1" collapsed="1"/>
    <col min="24" max="24" width="16.140625" style="78" customWidth="1" outlineLevel="2"/>
    <col min="25" max="25" width="21" style="76" customWidth="1" outlineLevel="2"/>
    <col min="26" max="28" width="12" style="76" customWidth="1" outlineLevel="1"/>
    <col min="29" max="29" width="6.85546875" style="79" customWidth="1" outlineLevel="1"/>
    <col min="30" max="30" width="12" style="76" customWidth="1" outlineLevel="1"/>
    <col min="31" max="31" width="4.140625" style="76" customWidth="1" outlineLevel="1"/>
    <col min="32" max="32" width="10.140625" style="79" customWidth="1" outlineLevel="1"/>
    <col min="33" max="34" width="14.85546875" style="79" customWidth="1" outlineLevel="1"/>
    <col min="35" max="16384" width="10.140625" style="79"/>
  </cols>
  <sheetData>
    <row r="1" spans="1:34" ht="27" customHeight="1" x14ac:dyDescent="0.3">
      <c r="A1" s="71" t="s">
        <v>21</v>
      </c>
      <c r="B1" s="72">
        <v>2</v>
      </c>
      <c r="C1" s="73">
        <v>1</v>
      </c>
      <c r="D1" s="72">
        <v>2</v>
      </c>
      <c r="E1" s="74" t="s">
        <v>22</v>
      </c>
      <c r="F1" s="75" t="s">
        <v>23</v>
      </c>
      <c r="G1" s="75" t="s">
        <v>24</v>
      </c>
      <c r="W1" s="77" t="s">
        <v>25</v>
      </c>
      <c r="AF1" s="76"/>
      <c r="AH1" s="80" t="s">
        <v>26</v>
      </c>
    </row>
    <row r="2" spans="1:34" s="85" customFormat="1" x14ac:dyDescent="0.3">
      <c r="A2" s="81" t="s">
        <v>27</v>
      </c>
      <c r="B2" s="82" t="str">
        <f>CHOOSE(B1,"GAAP/IFRS","Broker Actual")</f>
        <v>Broker Actual</v>
      </c>
      <c r="C2" s="82" t="str">
        <f>CHOOSE(C1,AG3,AH3)</f>
        <v>Incl. restate</v>
      </c>
      <c r="D2" s="82" t="str">
        <f>CHOOSE(D1,AG2,AH2)</f>
        <v>Median</v>
      </c>
      <c r="E2" s="82" t="s">
        <v>17</v>
      </c>
      <c r="F2" s="83" t="s">
        <v>28</v>
      </c>
      <c r="G2" s="84" t="s">
        <v>29</v>
      </c>
      <c r="J2" s="86" t="s">
        <v>30</v>
      </c>
      <c r="W2" s="87"/>
      <c r="X2" s="88"/>
      <c r="AA2" s="85" t="s">
        <v>17</v>
      </c>
      <c r="AG2" s="89" t="s">
        <v>31</v>
      </c>
      <c r="AH2" s="89" t="s">
        <v>32</v>
      </c>
    </row>
    <row r="3" spans="1:34" x14ac:dyDescent="0.3">
      <c r="A3" s="90" t="s">
        <v>33</v>
      </c>
      <c r="B3" s="91"/>
      <c r="D3" s="92"/>
      <c r="F3" s="93" t="s">
        <v>34</v>
      </c>
      <c r="G3" s="93" t="s">
        <v>35</v>
      </c>
      <c r="H3" s="79"/>
      <c r="W3" s="94"/>
      <c r="AG3" s="95" t="s">
        <v>36</v>
      </c>
      <c r="AH3" s="95" t="s">
        <v>37</v>
      </c>
    </row>
    <row r="4" spans="1:34" x14ac:dyDescent="0.3">
      <c r="A4" s="96" t="str">
        <f>"Financial Statements Summary - "&amp; _xll.FDSC("-",ALLFINSTAT_RWIdentifier,"FG_COMPANY_NAME")&amp;" ("&amp;UPPER(ALLFINSTAT_RWIdentifier)&amp;")"</f>
        <v>Financial Statements Summary - HCI Group, Inc. (HCI)</v>
      </c>
      <c r="B4" s="97"/>
      <c r="C4" s="97"/>
      <c r="D4" s="97"/>
      <c r="E4" s="97"/>
      <c r="F4" s="78" t="s">
        <v>38</v>
      </c>
      <c r="G4" s="78" t="s">
        <v>39</v>
      </c>
      <c r="H4" s="79"/>
      <c r="I4" s="79"/>
      <c r="W4" s="94"/>
      <c r="AG4" s="95" t="s">
        <v>40</v>
      </c>
      <c r="AH4" s="95" t="s">
        <v>41</v>
      </c>
    </row>
    <row r="5" spans="1:34" s="102" customFormat="1" x14ac:dyDescent="0.3">
      <c r="A5" s="98"/>
      <c r="B5" s="99"/>
      <c r="C5" s="99"/>
      <c r="D5" s="99"/>
      <c r="E5" s="99"/>
      <c r="F5" s="99"/>
      <c r="G5" s="99"/>
      <c r="H5" s="99"/>
      <c r="I5" s="99"/>
      <c r="J5" s="99"/>
      <c r="K5" s="99"/>
      <c r="L5" s="99"/>
      <c r="M5" s="99"/>
      <c r="N5" s="99"/>
      <c r="O5" s="99"/>
      <c r="P5" s="99"/>
      <c r="Q5" s="99"/>
      <c r="R5" s="99"/>
      <c r="S5" s="99"/>
      <c r="T5" s="99"/>
      <c r="U5" s="99"/>
      <c r="V5" s="99"/>
      <c r="W5" s="100"/>
      <c r="X5" s="101"/>
      <c r="Y5" s="99"/>
      <c r="Z5" s="99"/>
      <c r="AA5" s="99"/>
      <c r="AB5" s="99"/>
      <c r="AD5" s="99"/>
      <c r="AE5" s="103"/>
    </row>
    <row r="6" spans="1:34" x14ac:dyDescent="0.3">
      <c r="A6" s="104" t="s">
        <v>42</v>
      </c>
      <c r="B6" s="105" t="s">
        <v>43</v>
      </c>
      <c r="C6" s="105" t="s">
        <v>44</v>
      </c>
      <c r="D6" s="105" t="s">
        <v>45</v>
      </c>
      <c r="E6" s="105" t="s">
        <v>46</v>
      </c>
      <c r="F6" s="105" t="s">
        <v>47</v>
      </c>
      <c r="G6" s="105" t="s">
        <v>48</v>
      </c>
      <c r="H6" s="105" t="s">
        <v>49</v>
      </c>
      <c r="I6" s="105" t="s">
        <v>50</v>
      </c>
      <c r="J6" s="105" t="s">
        <v>51</v>
      </c>
      <c r="K6" s="105" t="s">
        <v>52</v>
      </c>
      <c r="L6" s="105" t="s">
        <v>53</v>
      </c>
      <c r="M6" s="105" t="s">
        <v>54</v>
      </c>
      <c r="N6" s="105" t="s">
        <v>55</v>
      </c>
      <c r="O6" s="105" t="s">
        <v>56</v>
      </c>
      <c r="P6" s="105" t="s">
        <v>57</v>
      </c>
      <c r="Q6" s="105" t="s">
        <v>58</v>
      </c>
      <c r="R6" s="105"/>
      <c r="S6" s="105"/>
      <c r="T6" s="105"/>
      <c r="U6" s="105"/>
      <c r="V6" s="105"/>
      <c r="W6" s="106"/>
      <c r="X6" s="107" t="s">
        <v>59</v>
      </c>
      <c r="Y6" s="107" t="s">
        <v>60</v>
      </c>
      <c r="Z6" s="105" t="s">
        <v>54</v>
      </c>
      <c r="AA6" s="105" t="s">
        <v>55</v>
      </c>
      <c r="AB6" s="105" t="s">
        <v>56</v>
      </c>
      <c r="AC6" s="108"/>
      <c r="AD6" s="108"/>
      <c r="AE6" s="108"/>
    </row>
    <row r="7" spans="1:34" x14ac:dyDescent="0.3">
      <c r="A7" s="79" t="s">
        <v>61</v>
      </c>
      <c r="B7" s="109" t="str" cm="1">
        <f t="array" ref="B7">_xll.FDSRC("-",$A$1,"CONVERT_DATE(FF_FISCAL_DATE(ANN_R,"&amp;B$6&amp;","&amp;B$6&amp;",,,"""",""DATEJ""),""MM/YYYY"")")</f>
        <v>12/2012</v>
      </c>
      <c r="C7" s="109" t="str" cm="1">
        <f t="array" ref="C7">_xll.FDSRC("-",$A$1,"CONVERT_DATE(FF_FISCAL_DATE(ANN_R,"&amp;C$6&amp;","&amp;C$6&amp;",,,"""",""DATEJ""),""MM/YYYY"")")</f>
        <v>12/2013</v>
      </c>
      <c r="D7" s="109" t="str" cm="1">
        <f t="array" ref="D7">_xll.FDSRC("-",$A$1,"CONVERT_DATE(FF_FISCAL_DATE(ANN_R,"&amp;D$6&amp;","&amp;D$6&amp;",,,"""",""DATEJ""),""MM/YYYY"")")</f>
        <v>12/2014</v>
      </c>
      <c r="E7" s="109" t="str" cm="1">
        <f t="array" ref="E7">_xll.FDSRC("-",$A$1,"CONVERT_DATE(FF_FISCAL_DATE(ANN_R,"&amp;E$6&amp;","&amp;E$6&amp;",,,"""",""DATEJ""),""MM/YYYY"")")</f>
        <v>12/2015</v>
      </c>
      <c r="F7" s="109" t="str" cm="1">
        <f t="array" ref="F7">_xll.FDSRC("-",$A$1,"CONVERT_DATE(FF_FISCAL_DATE(ANN_R,"&amp;F$6&amp;","&amp;F$6&amp;",,,"""",""DATEJ""),""MM/YYYY"")")</f>
        <v>12/2016</v>
      </c>
      <c r="G7" s="109" t="str" cm="1">
        <f t="array" ref="G7">_xll.FDSRC("-",$A$1,"CONVERT_DATE(FF_FISCAL_DATE(ANN_R,"&amp;G$6&amp;","&amp;G$6&amp;",,,"""",""DATEJ""),""MM/YYYY"")")</f>
        <v>12/2017</v>
      </c>
      <c r="H7" s="109" t="str" cm="1">
        <f t="array" ref="H7">_xll.FDSRC("-",$A$1,"CONVERT_DATE(FF_FISCAL_DATE(ANN_R,"&amp;H$6&amp;","&amp;H$6&amp;",,,"""",""DATEJ""),""MM/YYYY"")")</f>
        <v>12/2018</v>
      </c>
      <c r="I7" s="109" t="str" cm="1">
        <f t="array" ref="I7">_xll.FDSRC("-",$A$1,"CONVERT_DATE(FF_FISCAL_DATE(ANN_R,"&amp;I$6&amp;","&amp;I$6&amp;",,,"""",""DATEJ""),""MM/YYYY"")")</f>
        <v>12/2019</v>
      </c>
      <c r="J7" s="109" t="str" cm="1">
        <f t="array" ref="J7">_xll.FDSRC("-",$A$1,"CONVERT_DATE(FF_FISCAL_DATE(ANN_R,"&amp;J$6&amp;","&amp;J$6&amp;",,,"""",""DATEJ""),""MM/YYYY"")")</f>
        <v>12/2020</v>
      </c>
      <c r="K7" s="109" t="str" cm="1">
        <f t="array" ref="K7">_xll.FDSRC("-",$A$1,"CONVERT_DATE(FF_FISCAL_DATE(ANN_R,"&amp;K$6&amp;","&amp;K$6&amp;",,,"""",""DATEJ""),""MM/YYYY"")")</f>
        <v>12/2021</v>
      </c>
      <c r="L7" s="109" t="str" cm="1">
        <f t="array" ref="L7">_xll.FDSRC("-",$A$1,"CONVERT_DATE(FF_FISCAL_DATE(ANN_R,"&amp;L$6&amp;","&amp;L$6&amp;",,,"""",""DATEJ""),""MM/YYYY"")")</f>
        <v>12/2022</v>
      </c>
      <c r="M7" s="110">
        <v>45261</v>
      </c>
      <c r="N7" s="110">
        <v>45627</v>
      </c>
      <c r="O7" s="110">
        <v>45992</v>
      </c>
      <c r="P7" s="110">
        <v>46357</v>
      </c>
      <c r="Q7" s="110">
        <v>46722</v>
      </c>
      <c r="R7" s="111"/>
      <c r="S7" s="111"/>
      <c r="T7" s="111"/>
      <c r="U7" s="111"/>
      <c r="V7" s="111"/>
      <c r="W7" s="112"/>
      <c r="X7" s="113"/>
      <c r="Y7" s="114"/>
      <c r="Z7" s="115" t="str" cm="1">
        <f t="array" ref="Z7">_xll.FDSC("",$A$1,"FE_ACTUAL_DATE(FISCALPERIODEND,,ANNUAL,1,'MM/YYYY')")</f>
        <v>12/2023</v>
      </c>
      <c r="AA7" s="115" t="str" cm="1">
        <f t="array" ref="AA7">_xll.FDSC("",$A$1,"FE_ACTUAL_DATE(FISCALPERIODEND,,ANNUAL,2,'MM/YYYY')")</f>
        <v>12/2024</v>
      </c>
      <c r="AB7" s="115" t="str" cm="1">
        <f t="array" ref="AB7">_xll.FDSC("",$A$1,"FE_ACTUAL_DATE(FISCALPERIODEND,,ANNUAL,3,'MM/YYYY')")</f>
        <v>12/2025</v>
      </c>
      <c r="AC7" s="116"/>
      <c r="AD7" s="115"/>
      <c r="AE7" s="117"/>
    </row>
    <row r="8" spans="1:34" x14ac:dyDescent="0.3">
      <c r="A8" s="118" t="s">
        <v>62</v>
      </c>
      <c r="B8" s="109"/>
      <c r="C8" s="109"/>
      <c r="D8" s="109"/>
      <c r="E8" s="109"/>
      <c r="F8" s="109"/>
      <c r="G8" s="109"/>
      <c r="H8" s="109"/>
      <c r="I8" s="109"/>
      <c r="J8" s="109"/>
      <c r="K8" s="109"/>
      <c r="L8" s="109"/>
      <c r="M8" s="110"/>
      <c r="N8" s="110"/>
      <c r="O8" s="109"/>
      <c r="P8" s="109"/>
      <c r="Q8" s="109"/>
      <c r="R8" s="111"/>
      <c r="S8" s="111"/>
      <c r="T8" s="111"/>
      <c r="U8" s="111"/>
      <c r="V8" s="111"/>
      <c r="W8" s="112"/>
      <c r="X8" s="113"/>
      <c r="Y8" s="114"/>
      <c r="Z8" s="115"/>
      <c r="AA8" s="115"/>
      <c r="AB8" s="115"/>
      <c r="AC8" s="116"/>
      <c r="AD8" s="115"/>
      <c r="AE8" s="117"/>
    </row>
    <row r="9" spans="1:34" x14ac:dyDescent="0.3">
      <c r="A9" s="119" t="s">
        <v>63</v>
      </c>
      <c r="B9" s="120"/>
      <c r="C9" s="120"/>
      <c r="D9" s="120"/>
      <c r="E9" s="120"/>
      <c r="F9" s="120"/>
      <c r="G9" s="120"/>
      <c r="H9" s="120"/>
      <c r="I9" s="120"/>
      <c r="J9" s="120"/>
      <c r="K9" s="120"/>
      <c r="L9" s="120"/>
      <c r="M9" s="120"/>
      <c r="N9" s="120"/>
      <c r="O9" s="121"/>
      <c r="P9" s="121"/>
      <c r="Q9" s="121"/>
      <c r="R9" s="121"/>
      <c r="S9" s="121"/>
      <c r="T9" s="121"/>
      <c r="U9" s="121"/>
      <c r="V9" s="121"/>
      <c r="AC9" s="76"/>
    </row>
    <row r="10" spans="1:34" x14ac:dyDescent="0.3">
      <c r="A10" s="196" t="s">
        <v>64</v>
      </c>
      <c r="B10" s="76" t="s">
        <v>65</v>
      </c>
      <c r="C10" s="76" t="s">
        <v>66</v>
      </c>
      <c r="D10" s="76" t="s">
        <v>67</v>
      </c>
      <c r="E10" s="76" t="s">
        <v>68</v>
      </c>
      <c r="F10" s="76" t="s">
        <v>69</v>
      </c>
      <c r="G10" s="76" t="s">
        <v>70</v>
      </c>
      <c r="H10" s="76" t="s">
        <v>71</v>
      </c>
      <c r="I10" s="76" t="s">
        <v>72</v>
      </c>
      <c r="J10" s="76" t="s">
        <v>73</v>
      </c>
      <c r="K10" s="76" t="s">
        <v>74</v>
      </c>
      <c r="L10" s="76" t="s">
        <v>75</v>
      </c>
      <c r="M10"/>
      <c r="N10"/>
      <c r="O10"/>
      <c r="P10"/>
      <c r="Q10"/>
    </row>
    <row r="11" spans="1:34" outlineLevel="2" x14ac:dyDescent="0.3">
      <c r="A11" s="198" t="s">
        <v>76</v>
      </c>
      <c r="B11" s="199">
        <v>110000</v>
      </c>
      <c r="C11" s="199">
        <v>160000</v>
      </c>
      <c r="D11" s="199">
        <v>175000</v>
      </c>
      <c r="E11" s="199">
        <v>160000</v>
      </c>
      <c r="F11" s="199">
        <v>150000</v>
      </c>
      <c r="G11" s="199">
        <v>139000</v>
      </c>
      <c r="H11" s="199">
        <v>127000</v>
      </c>
      <c r="I11" s="199">
        <v>131000</v>
      </c>
      <c r="J11" s="199">
        <v>154000</v>
      </c>
      <c r="K11" s="199">
        <v>180700</v>
      </c>
      <c r="L11" s="199">
        <v>210400</v>
      </c>
      <c r="M11" s="206">
        <f>L11*(1+M12)</f>
        <v>223024</v>
      </c>
      <c r="N11" s="206">
        <f t="shared" ref="N11:Q11" si="0">M11*(1+N12)</f>
        <v>234175.2</v>
      </c>
      <c r="O11" s="206">
        <f t="shared" si="0"/>
        <v>245883.96000000002</v>
      </c>
      <c r="P11" s="206">
        <f t="shared" si="0"/>
        <v>258178.15800000002</v>
      </c>
      <c r="Q11" s="206">
        <f t="shared" si="0"/>
        <v>271087.06590000005</v>
      </c>
      <c r="R11" s="124"/>
      <c r="S11" s="124"/>
      <c r="T11" s="124"/>
      <c r="U11" s="124"/>
      <c r="V11" s="124"/>
      <c r="W11" s="125"/>
      <c r="X11" s="126"/>
      <c r="Y11" s="126"/>
      <c r="Z11" s="124"/>
      <c r="AA11" s="124"/>
      <c r="AB11" s="124"/>
      <c r="AC11" s="124"/>
      <c r="AD11" s="124"/>
      <c r="AE11" s="127"/>
    </row>
    <row r="12" spans="1:34" outlineLevel="2" x14ac:dyDescent="0.3">
      <c r="A12" s="200" t="s">
        <v>77</v>
      </c>
      <c r="B12" s="199"/>
      <c r="C12" s="201">
        <f>C11/B11-1</f>
        <v>0.45454545454545459</v>
      </c>
      <c r="D12" s="201">
        <f t="shared" ref="D12:L12" si="1">D11/C11-1</f>
        <v>9.375E-2</v>
      </c>
      <c r="E12" s="201">
        <f t="shared" si="1"/>
        <v>-8.5714285714285743E-2</v>
      </c>
      <c r="F12" s="201">
        <f t="shared" si="1"/>
        <v>-6.25E-2</v>
      </c>
      <c r="G12" s="201">
        <f t="shared" si="1"/>
        <v>-7.3333333333333361E-2</v>
      </c>
      <c r="H12" s="201">
        <f t="shared" si="1"/>
        <v>-8.633093525179858E-2</v>
      </c>
      <c r="I12" s="201">
        <f t="shared" si="1"/>
        <v>3.1496062992125928E-2</v>
      </c>
      <c r="J12" s="201">
        <f t="shared" si="1"/>
        <v>0.17557251908396942</v>
      </c>
      <c r="K12" s="201">
        <f t="shared" si="1"/>
        <v>0.17337662337662341</v>
      </c>
      <c r="L12" s="201">
        <f t="shared" si="1"/>
        <v>0.164360819037078</v>
      </c>
      <c r="M12" s="210">
        <v>0.06</v>
      </c>
      <c r="N12" s="210">
        <v>0.05</v>
      </c>
      <c r="O12" s="210">
        <v>0.05</v>
      </c>
      <c r="P12" s="210">
        <v>0.05</v>
      </c>
      <c r="Q12" s="210">
        <v>0.05</v>
      </c>
      <c r="R12" s="124"/>
      <c r="S12" s="124"/>
      <c r="T12" s="124"/>
      <c r="U12" s="124"/>
      <c r="V12" s="124"/>
      <c r="W12" s="125"/>
      <c r="X12" s="126"/>
      <c r="Y12" s="126"/>
      <c r="Z12" s="124"/>
      <c r="AA12" s="124"/>
      <c r="AB12" s="124"/>
      <c r="AC12" s="124"/>
      <c r="AD12" s="124"/>
      <c r="AE12" s="127"/>
    </row>
    <row r="13" spans="1:34" outlineLevel="2" x14ac:dyDescent="0.3">
      <c r="A13" s="198" t="s">
        <v>78</v>
      </c>
      <c r="B13" s="241">
        <f>(B18/B11)*1000000</f>
        <v>2127.272727272727</v>
      </c>
      <c r="C13" s="241">
        <f t="shared" ref="C13:Q13" si="2">(C18/C11)*1000000</f>
        <v>2106.25</v>
      </c>
      <c r="D13" s="241">
        <f t="shared" si="2"/>
        <v>2085.7142857142858</v>
      </c>
      <c r="E13" s="241">
        <f t="shared" si="2"/>
        <v>2644.5</v>
      </c>
      <c r="F13" s="241">
        <f t="shared" si="2"/>
        <v>2524.52</v>
      </c>
      <c r="G13" s="241">
        <f t="shared" si="2"/>
        <v>2577.3597122302162</v>
      </c>
      <c r="H13" s="241">
        <f t="shared" si="2"/>
        <v>2701.2992125984251</v>
      </c>
      <c r="I13" s="241">
        <f t="shared" si="2"/>
        <v>2611.290076335878</v>
      </c>
      <c r="J13" s="241">
        <f t="shared" si="2"/>
        <v>2700.7662337662337</v>
      </c>
      <c r="K13" s="241">
        <f t="shared" si="2"/>
        <v>3193.3812949640287</v>
      </c>
      <c r="L13" s="241">
        <f t="shared" si="2"/>
        <v>3444.4676806083648</v>
      </c>
      <c r="M13" s="204">
        <f>(M18/M11)*1000000</f>
        <v>3574.4475930841527</v>
      </c>
      <c r="N13" s="204">
        <f>(N18/N11)*1000000</f>
        <v>3744.6593832310173</v>
      </c>
      <c r="O13" s="204">
        <f>(O18/O11)*1000000</f>
        <v>3922.9764967182091</v>
      </c>
      <c r="P13" s="204">
        <f t="shared" si="2"/>
        <v>4109.7849013238374</v>
      </c>
      <c r="Q13" s="204">
        <f t="shared" si="2"/>
        <v>4305.4889442440199</v>
      </c>
      <c r="R13" s="124"/>
      <c r="S13" s="124"/>
      <c r="T13" s="124"/>
      <c r="U13" s="124"/>
      <c r="V13" s="124"/>
      <c r="W13" s="125"/>
      <c r="X13" s="126"/>
      <c r="Y13" s="126"/>
      <c r="Z13" s="124"/>
      <c r="AA13" s="124"/>
      <c r="AB13" s="124"/>
      <c r="AC13" s="124"/>
      <c r="AD13" s="124"/>
      <c r="AE13" s="127"/>
    </row>
    <row r="14" spans="1:34" outlineLevel="2" x14ac:dyDescent="0.3">
      <c r="A14" s="200" t="s">
        <v>77</v>
      </c>
      <c r="B14" s="199"/>
      <c r="C14" s="201">
        <f>C13/B13-1</f>
        <v>-9.8824786324784863E-3</v>
      </c>
      <c r="D14" s="201">
        <f t="shared" ref="D14:L14" si="3">D13/C13-1</f>
        <v>-9.7498940228910591E-3</v>
      </c>
      <c r="E14" s="201">
        <f t="shared" si="3"/>
        <v>0.26791095890410954</v>
      </c>
      <c r="F14" s="201">
        <f t="shared" si="3"/>
        <v>-4.5369635091699778E-2</v>
      </c>
      <c r="G14" s="201">
        <f t="shared" si="3"/>
        <v>2.0930597590914868E-2</v>
      </c>
      <c r="H14" s="201">
        <f t="shared" si="3"/>
        <v>4.8087777495739115E-2</v>
      </c>
      <c r="I14" s="201">
        <f t="shared" si="3"/>
        <v>-3.3320683559510567E-2</v>
      </c>
      <c r="J14" s="201">
        <f t="shared" si="3"/>
        <v>3.4265116021084507E-2</v>
      </c>
      <c r="K14" s="201">
        <f t="shared" si="3"/>
        <v>0.18239825981193514</v>
      </c>
      <c r="L14" s="201">
        <f t="shared" si="3"/>
        <v>7.862712355718382E-2</v>
      </c>
      <c r="M14" s="242">
        <f>M13/L13-1</f>
        <v>3.7735849056603987E-2</v>
      </c>
      <c r="N14" s="240">
        <f>N13/M13-1</f>
        <v>4.7619047619047672E-2</v>
      </c>
      <c r="O14" s="240">
        <f t="shared" ref="O14:Q14" si="4">O13/N13-1</f>
        <v>4.7619047619047672E-2</v>
      </c>
      <c r="P14" s="240">
        <f t="shared" si="4"/>
        <v>4.761904761904745E-2</v>
      </c>
      <c r="Q14" s="240">
        <f t="shared" si="4"/>
        <v>4.761904761904745E-2</v>
      </c>
      <c r="R14" s="124"/>
      <c r="S14" s="124"/>
      <c r="T14" s="124"/>
      <c r="U14" s="124"/>
      <c r="V14" s="124"/>
      <c r="W14" s="125"/>
      <c r="X14" s="126"/>
      <c r="Y14" s="126"/>
      <c r="Z14" s="124"/>
      <c r="AA14" s="124"/>
      <c r="AB14" s="124"/>
      <c r="AC14" s="124"/>
      <c r="AD14" s="124"/>
      <c r="AE14" s="127"/>
    </row>
    <row r="15" spans="1:34" outlineLevel="2" x14ac:dyDescent="0.3">
      <c r="A15" s="198" t="s">
        <v>79</v>
      </c>
      <c r="B15" s="241">
        <f>(B23/B11)*1000000</f>
        <v>1432.7272727272725</v>
      </c>
      <c r="C15" s="241">
        <f t="shared" ref="C15:Q15" si="5">(C23/C11)*1000000</f>
        <v>1463.75</v>
      </c>
      <c r="D15" s="241">
        <f t="shared" si="5"/>
        <v>1440.5714285714287</v>
      </c>
      <c r="E15" s="241">
        <f t="shared" si="5"/>
        <v>1765.625</v>
      </c>
      <c r="F15" s="241">
        <f t="shared" si="5"/>
        <v>1624</v>
      </c>
      <c r="G15" s="241">
        <f t="shared" si="5"/>
        <v>1615.8273381294964</v>
      </c>
      <c r="H15" s="241">
        <f t="shared" si="5"/>
        <v>1680.3149606299214</v>
      </c>
      <c r="I15" s="241">
        <f t="shared" si="5"/>
        <v>1651.145038167939</v>
      </c>
      <c r="J15" s="241">
        <f t="shared" si="5"/>
        <v>1704.5454545454545</v>
      </c>
      <c r="K15" s="241">
        <f t="shared" si="5"/>
        <v>2087.9911455451024</v>
      </c>
      <c r="L15" s="241">
        <f t="shared" si="5"/>
        <v>2203.4220532319391</v>
      </c>
      <c r="M15" s="204">
        <f>(M23/M11)*1000000</f>
        <v>2287.6464595738576</v>
      </c>
      <c r="N15" s="204">
        <f t="shared" si="5"/>
        <v>2396.5820052678514</v>
      </c>
      <c r="O15" s="204">
        <f t="shared" si="5"/>
        <v>2510.7049578996534</v>
      </c>
      <c r="P15" s="204">
        <f t="shared" si="5"/>
        <v>2589.1644878340176</v>
      </c>
      <c r="Q15" s="204">
        <f t="shared" si="5"/>
        <v>2712.4580348737322</v>
      </c>
      <c r="R15" s="124"/>
      <c r="S15" s="124"/>
      <c r="T15" s="124"/>
      <c r="U15" s="124"/>
      <c r="V15" s="124"/>
      <c r="W15" s="125"/>
      <c r="X15" s="126"/>
      <c r="Y15" s="126"/>
      <c r="Z15" s="124"/>
      <c r="AA15" s="124"/>
      <c r="AB15" s="124"/>
      <c r="AC15" s="124"/>
      <c r="AD15" s="124"/>
      <c r="AE15" s="127"/>
    </row>
    <row r="16" spans="1:34" outlineLevel="2" x14ac:dyDescent="0.3">
      <c r="A16" s="200" t="s">
        <v>77</v>
      </c>
      <c r="B16" s="199"/>
      <c r="C16" s="201">
        <f>C15/B15-1</f>
        <v>2.1652918781726038E-2</v>
      </c>
      <c r="D16" s="201">
        <f t="shared" ref="D16:L16" si="6">D15/C15-1</f>
        <v>-1.5835061607905265E-2</v>
      </c>
      <c r="E16" s="201">
        <f t="shared" si="6"/>
        <v>0.22564210630702086</v>
      </c>
      <c r="F16" s="201">
        <f t="shared" si="6"/>
        <v>-8.0212389380530991E-2</v>
      </c>
      <c r="G16" s="201">
        <f t="shared" si="6"/>
        <v>-5.0324272601622866E-3</v>
      </c>
      <c r="H16" s="201">
        <f t="shared" si="6"/>
        <v>3.9909971182364501E-2</v>
      </c>
      <c r="I16" s="201">
        <f t="shared" si="6"/>
        <v>-1.7359794529858363E-2</v>
      </c>
      <c r="J16" s="201">
        <f t="shared" si="6"/>
        <v>3.2341444962804111E-2</v>
      </c>
      <c r="K16" s="201">
        <f t="shared" si="6"/>
        <v>0.22495480538646007</v>
      </c>
      <c r="L16" s="201">
        <f t="shared" si="6"/>
        <v>5.5283236201991492E-2</v>
      </c>
      <c r="M16" s="240">
        <f>M15/L15-1</f>
        <v>3.8224363879076018E-2</v>
      </c>
      <c r="N16" s="240">
        <f>N15/M15-1</f>
        <v>4.7619047619047894E-2</v>
      </c>
      <c r="O16" s="240">
        <f t="shared" ref="O16:Q16" si="7">O15/N15-1</f>
        <v>4.761904761904745E-2</v>
      </c>
      <c r="P16" s="240">
        <f t="shared" si="7"/>
        <v>3.125E-2</v>
      </c>
      <c r="Q16" s="240">
        <f t="shared" si="7"/>
        <v>4.761904761904745E-2</v>
      </c>
      <c r="R16" s="124"/>
      <c r="S16" s="124"/>
      <c r="T16" s="124"/>
      <c r="U16" s="124"/>
      <c r="V16" s="124"/>
      <c r="W16" s="125"/>
      <c r="X16" s="126"/>
      <c r="Y16" s="126"/>
      <c r="Z16" s="124"/>
      <c r="AA16" s="124"/>
      <c r="AB16" s="124"/>
      <c r="AC16" s="124"/>
      <c r="AD16" s="124"/>
      <c r="AE16" s="127"/>
    </row>
    <row r="17" spans="1:48" outlineLevel="2" x14ac:dyDescent="0.3">
      <c r="A17" s="200"/>
      <c r="B17" s="199"/>
      <c r="C17" s="201"/>
      <c r="D17" s="201"/>
      <c r="E17" s="201"/>
      <c r="F17" s="201"/>
      <c r="G17" s="201"/>
      <c r="H17" s="201"/>
      <c r="I17" s="201"/>
      <c r="J17" s="201"/>
      <c r="K17" s="201"/>
      <c r="L17" s="201"/>
      <c r="M17" s="240"/>
      <c r="N17" s="240"/>
      <c r="O17" s="240"/>
      <c r="P17" s="240"/>
      <c r="Q17" s="240"/>
      <c r="R17" s="124"/>
      <c r="S17" s="124"/>
      <c r="T17" s="124"/>
      <c r="U17" s="124"/>
      <c r="V17" s="124"/>
      <c r="W17" s="125"/>
      <c r="X17" s="126"/>
      <c r="Y17" s="126"/>
      <c r="Z17" s="124"/>
      <c r="AA17" s="124"/>
      <c r="AB17" s="124"/>
      <c r="AC17" s="124"/>
      <c r="AD17" s="124"/>
      <c r="AE17" s="127"/>
    </row>
    <row r="18" spans="1:48" outlineLevel="2" x14ac:dyDescent="0.3">
      <c r="A18" s="198" t="s">
        <v>80</v>
      </c>
      <c r="B18" s="202">
        <v>234</v>
      </c>
      <c r="C18" s="202">
        <v>337</v>
      </c>
      <c r="D18" s="202">
        <v>365</v>
      </c>
      <c r="E18" s="202">
        <v>423.12</v>
      </c>
      <c r="F18" s="202">
        <v>378.678</v>
      </c>
      <c r="G18" s="202">
        <v>358.25300000000004</v>
      </c>
      <c r="H18" s="202">
        <v>343.065</v>
      </c>
      <c r="I18" s="202">
        <v>342.07900000000001</v>
      </c>
      <c r="J18" s="202">
        <v>415.91800000000001</v>
      </c>
      <c r="K18" s="202">
        <v>577.04399999999998</v>
      </c>
      <c r="L18" s="202">
        <v>724.71600000000001</v>
      </c>
      <c r="M18" s="204">
        <f>L18*(1+M19)</f>
        <v>797.18760000000009</v>
      </c>
      <c r="N18" s="204">
        <f>M18*(1+N19)</f>
        <v>876.90636000000018</v>
      </c>
      <c r="O18" s="204">
        <f t="shared" ref="O18:Q18" si="8">N18*(1+O19)</f>
        <v>964.59699600000022</v>
      </c>
      <c r="P18" s="204">
        <f t="shared" si="8"/>
        <v>1061.0566956000002</v>
      </c>
      <c r="Q18" s="204">
        <f t="shared" si="8"/>
        <v>1167.1623651600003</v>
      </c>
      <c r="R18" s="124"/>
      <c r="S18" s="124"/>
      <c r="T18" s="124"/>
      <c r="U18" s="124"/>
      <c r="V18" s="124"/>
      <c r="W18" s="125"/>
      <c r="X18" s="126"/>
      <c r="Y18" s="126"/>
      <c r="Z18" s="124"/>
      <c r="AA18" s="124"/>
      <c r="AB18" s="124"/>
      <c r="AC18" s="124"/>
      <c r="AD18" s="124"/>
      <c r="AE18" s="127"/>
    </row>
    <row r="19" spans="1:48" outlineLevel="2" x14ac:dyDescent="0.3">
      <c r="A19" s="200" t="s">
        <v>77</v>
      </c>
      <c r="B19" s="199"/>
      <c r="C19" s="201">
        <f>C18/B18-1</f>
        <v>0.44017094017094016</v>
      </c>
      <c r="D19" s="201">
        <f t="shared" ref="D19:L19" si="9">D18/C18-1</f>
        <v>8.308605341246289E-2</v>
      </c>
      <c r="E19" s="201">
        <f t="shared" si="9"/>
        <v>0.15923287671232877</v>
      </c>
      <c r="F19" s="201">
        <f t="shared" si="9"/>
        <v>-0.10503403289846858</v>
      </c>
      <c r="G19" s="201">
        <f t="shared" si="9"/>
        <v>-5.3937646232419034E-2</v>
      </c>
      <c r="H19" s="201">
        <f t="shared" si="9"/>
        <v>-4.2394620561446938E-2</v>
      </c>
      <c r="I19" s="201">
        <f t="shared" si="9"/>
        <v>-2.8740909157156658E-3</v>
      </c>
      <c r="J19" s="201">
        <f t="shared" si="9"/>
        <v>0.21585364784158045</v>
      </c>
      <c r="K19" s="201">
        <f t="shared" si="9"/>
        <v>0.38739847758452384</v>
      </c>
      <c r="L19" s="201">
        <f t="shared" si="9"/>
        <v>0.25591116102065015</v>
      </c>
      <c r="M19" s="210">
        <v>0.1</v>
      </c>
      <c r="N19" s="210">
        <v>0.1</v>
      </c>
      <c r="O19" s="210">
        <v>0.1</v>
      </c>
      <c r="P19" s="210">
        <v>0.1</v>
      </c>
      <c r="Q19" s="210">
        <v>0.1</v>
      </c>
      <c r="R19" s="124"/>
      <c r="S19" s="124"/>
      <c r="T19" s="124"/>
      <c r="U19" s="124"/>
      <c r="V19" s="124"/>
      <c r="W19" s="125"/>
      <c r="X19" s="126"/>
      <c r="Y19" s="126"/>
      <c r="Z19" s="124"/>
      <c r="AA19" s="124"/>
      <c r="AB19" s="124"/>
      <c r="AC19" s="124"/>
      <c r="AD19" s="124"/>
      <c r="AE19" s="127"/>
    </row>
    <row r="20" spans="1:48" outlineLevel="2" x14ac:dyDescent="0.3">
      <c r="A20" s="198" t="s">
        <v>81</v>
      </c>
      <c r="B20" s="202">
        <v>76.400000000000006</v>
      </c>
      <c r="C20" s="202">
        <v>102.80000000000001</v>
      </c>
      <c r="D20" s="202">
        <v>112.9</v>
      </c>
      <c r="E20" s="202">
        <v>140.62</v>
      </c>
      <c r="F20" s="202">
        <v>135.078</v>
      </c>
      <c r="G20" s="202">
        <v>133.65300000000005</v>
      </c>
      <c r="H20" s="202">
        <v>129.66499999999999</v>
      </c>
      <c r="I20" s="202">
        <v>125.779</v>
      </c>
      <c r="J20" s="202">
        <v>153.41800000000001</v>
      </c>
      <c r="K20" s="202">
        <v>199.74399999999997</v>
      </c>
      <c r="L20" s="202">
        <v>261.11599999999999</v>
      </c>
      <c r="M20" s="204">
        <f>M18*M22</f>
        <v>286.98753600000003</v>
      </c>
      <c r="N20" s="204">
        <f t="shared" ref="N20:Q20" si="10">N18*N22</f>
        <v>315.68628960000007</v>
      </c>
      <c r="O20" s="204">
        <f t="shared" si="10"/>
        <v>347.25491856000008</v>
      </c>
      <c r="P20" s="204">
        <f t="shared" si="10"/>
        <v>392.59097737200011</v>
      </c>
      <c r="Q20" s="204">
        <f t="shared" si="10"/>
        <v>431.85007510920008</v>
      </c>
      <c r="R20" s="124"/>
      <c r="S20" s="124"/>
      <c r="T20" s="124"/>
      <c r="U20" s="124"/>
      <c r="V20" s="124"/>
      <c r="W20" s="125"/>
      <c r="X20" s="126"/>
      <c r="Y20" s="126"/>
      <c r="Z20" s="124"/>
      <c r="AA20" s="124"/>
      <c r="AB20" s="124"/>
      <c r="AC20" s="124"/>
      <c r="AD20" s="124"/>
      <c r="AE20" s="127"/>
    </row>
    <row r="21" spans="1:48" outlineLevel="2" x14ac:dyDescent="0.3">
      <c r="A21" s="200" t="s">
        <v>77</v>
      </c>
      <c r="B21" s="199"/>
      <c r="C21" s="201">
        <f>C20/B20-1</f>
        <v>0.34554973821989532</v>
      </c>
      <c r="D21" s="201">
        <f t="shared" ref="D21:Q21" si="11">D20/C20-1</f>
        <v>9.8249027237353959E-2</v>
      </c>
      <c r="E21" s="201">
        <f t="shared" si="11"/>
        <v>0.24552701505757302</v>
      </c>
      <c r="F21" s="201">
        <f t="shared" si="11"/>
        <v>-3.9411179064144486E-2</v>
      </c>
      <c r="G21" s="201">
        <f t="shared" si="11"/>
        <v>-1.054946031181947E-2</v>
      </c>
      <c r="H21" s="201">
        <f t="shared" si="11"/>
        <v>-2.9838462286668088E-2</v>
      </c>
      <c r="I21" s="201">
        <f t="shared" si="11"/>
        <v>-2.9969536883507453E-2</v>
      </c>
      <c r="J21" s="201">
        <f t="shared" si="11"/>
        <v>0.21974256433903916</v>
      </c>
      <c r="K21" s="201">
        <f t="shared" si="11"/>
        <v>0.30195935287906228</v>
      </c>
      <c r="L21" s="201">
        <f t="shared" si="11"/>
        <v>0.30725328420378095</v>
      </c>
      <c r="M21" s="240">
        <f t="shared" si="11"/>
        <v>9.9080623171311055E-2</v>
      </c>
      <c r="N21" s="240">
        <f t="shared" si="11"/>
        <v>0.10000000000000009</v>
      </c>
      <c r="O21" s="240">
        <f t="shared" si="11"/>
        <v>0.10000000000000009</v>
      </c>
      <c r="P21" s="240">
        <f t="shared" si="11"/>
        <v>0.13055555555555554</v>
      </c>
      <c r="Q21" s="240">
        <f t="shared" si="11"/>
        <v>9.9999999999999867E-2</v>
      </c>
      <c r="R21" s="124"/>
      <c r="S21" s="124"/>
      <c r="T21" s="124"/>
      <c r="U21" s="124"/>
      <c r="V21" s="124"/>
      <c r="W21" s="125"/>
      <c r="X21" s="126"/>
      <c r="Y21" s="126"/>
      <c r="Z21" s="124"/>
      <c r="AA21" s="124"/>
      <c r="AB21" s="124"/>
      <c r="AC21" s="124"/>
      <c r="AD21" s="124"/>
      <c r="AE21" s="127"/>
    </row>
    <row r="22" spans="1:48" outlineLevel="2" x14ac:dyDescent="0.3">
      <c r="A22" s="200" t="s">
        <v>82</v>
      </c>
      <c r="B22" s="199"/>
      <c r="C22" s="201">
        <f>C20/C18</f>
        <v>0.3050445103857567</v>
      </c>
      <c r="D22" s="201">
        <f t="shared" ref="D22:L22" si="12">D20/D18</f>
        <v>0.30931506849315071</v>
      </c>
      <c r="E22" s="201">
        <f t="shared" si="12"/>
        <v>0.33234070712800151</v>
      </c>
      <c r="F22" s="201">
        <f t="shared" si="12"/>
        <v>0.35670939426108728</v>
      </c>
      <c r="G22" s="201">
        <f t="shared" si="12"/>
        <v>0.37306875308790166</v>
      </c>
      <c r="H22" s="201">
        <f t="shared" si="12"/>
        <v>0.37796044481366503</v>
      </c>
      <c r="I22" s="201">
        <f t="shared" si="12"/>
        <v>0.36768991957998004</v>
      </c>
      <c r="J22" s="201">
        <f t="shared" si="12"/>
        <v>0.36886597838997109</v>
      </c>
      <c r="K22" s="201">
        <f t="shared" si="12"/>
        <v>0.34615038021364053</v>
      </c>
      <c r="L22" s="201">
        <f t="shared" si="12"/>
        <v>0.36030113865293439</v>
      </c>
      <c r="M22" s="210">
        <v>0.36</v>
      </c>
      <c r="N22" s="210">
        <v>0.36</v>
      </c>
      <c r="O22" s="210">
        <v>0.36</v>
      </c>
      <c r="P22" s="210">
        <v>0.37</v>
      </c>
      <c r="Q22" s="210">
        <v>0.37</v>
      </c>
      <c r="R22" s="124"/>
      <c r="S22" s="124"/>
      <c r="T22" s="124"/>
      <c r="U22" s="124"/>
      <c r="V22" s="124"/>
      <c r="W22" s="125"/>
      <c r="X22" s="126"/>
      <c r="Y22" s="126"/>
      <c r="Z22" s="124"/>
      <c r="AA22" s="124"/>
      <c r="AB22" s="124"/>
      <c r="AC22" s="124"/>
      <c r="AD22" s="124"/>
      <c r="AE22" s="127"/>
    </row>
    <row r="23" spans="1:48" outlineLevel="2" x14ac:dyDescent="0.3">
      <c r="A23" s="198" t="s">
        <v>83</v>
      </c>
      <c r="B23" s="202">
        <v>157.6</v>
      </c>
      <c r="C23" s="202">
        <v>234.2</v>
      </c>
      <c r="D23" s="202">
        <v>252.1</v>
      </c>
      <c r="E23" s="202">
        <v>282.5</v>
      </c>
      <c r="F23" s="202">
        <v>243.6</v>
      </c>
      <c r="G23" s="202">
        <v>224.6</v>
      </c>
      <c r="H23" s="202">
        <v>213.4</v>
      </c>
      <c r="I23" s="202">
        <v>216.3</v>
      </c>
      <c r="J23" s="202">
        <v>262.5</v>
      </c>
      <c r="K23" s="202">
        <v>377.3</v>
      </c>
      <c r="L23" s="202">
        <v>463.6</v>
      </c>
      <c r="M23" s="204">
        <f>M18-M20</f>
        <v>510.20006400000005</v>
      </c>
      <c r="N23" s="204">
        <f t="shared" ref="N23:Q23" si="13">N18-N20</f>
        <v>561.22007040000017</v>
      </c>
      <c r="O23" s="204">
        <f t="shared" si="13"/>
        <v>617.34207744000014</v>
      </c>
      <c r="P23" s="204">
        <f t="shared" si="13"/>
        <v>668.46571822800013</v>
      </c>
      <c r="Q23" s="204">
        <f t="shared" si="13"/>
        <v>735.31229005080013</v>
      </c>
      <c r="R23" s="235"/>
      <c r="S23" s="235"/>
      <c r="T23" s="235"/>
      <c r="U23" s="235"/>
      <c r="V23" s="235"/>
      <c r="W23" s="236"/>
      <c r="X23" s="237"/>
      <c r="Y23" s="237"/>
      <c r="Z23" s="235"/>
      <c r="AA23" s="235"/>
      <c r="AB23" s="235"/>
      <c r="AC23" s="235"/>
      <c r="AD23" s="235"/>
      <c r="AE23" s="238"/>
      <c r="AF23" s="239"/>
      <c r="AG23" s="239"/>
      <c r="AH23" s="239"/>
      <c r="AI23" s="239"/>
      <c r="AJ23" s="239"/>
      <c r="AK23" s="239"/>
      <c r="AL23" s="239"/>
      <c r="AM23" s="239"/>
      <c r="AN23" s="239"/>
      <c r="AO23" s="239"/>
      <c r="AP23" s="239"/>
      <c r="AQ23" s="239"/>
      <c r="AR23" s="239"/>
      <c r="AS23" s="239"/>
      <c r="AT23" s="239"/>
      <c r="AU23" s="239"/>
      <c r="AV23" s="239"/>
    </row>
    <row r="24" spans="1:48" outlineLevel="2" x14ac:dyDescent="0.3">
      <c r="A24" s="200" t="s">
        <v>77</v>
      </c>
      <c r="B24" s="199"/>
      <c r="C24" s="201">
        <f t="shared" ref="C24:L24" si="14">C23/B23-1</f>
        <v>0.48604060913705571</v>
      </c>
      <c r="D24" s="201">
        <f t="shared" si="14"/>
        <v>7.6430401366353484E-2</v>
      </c>
      <c r="E24" s="201">
        <f t="shared" si="14"/>
        <v>0.12058706862356217</v>
      </c>
      <c r="F24" s="201">
        <f t="shared" si="14"/>
        <v>-0.13769911504424781</v>
      </c>
      <c r="G24" s="201">
        <f t="shared" si="14"/>
        <v>-7.7996715927750371E-2</v>
      </c>
      <c r="H24" s="201">
        <f t="shared" si="14"/>
        <v>-4.9866429207479968E-2</v>
      </c>
      <c r="I24" s="201">
        <f t="shared" si="14"/>
        <v>1.3589503280224902E-2</v>
      </c>
      <c r="J24" s="201">
        <f t="shared" si="14"/>
        <v>0.21359223300970864</v>
      </c>
      <c r="K24" s="201">
        <f t="shared" si="14"/>
        <v>0.43733333333333335</v>
      </c>
      <c r="L24" s="201">
        <f t="shared" si="14"/>
        <v>0.22873045322024921</v>
      </c>
      <c r="M24" s="240">
        <f>M23/L23-1</f>
        <v>0.10051782571182066</v>
      </c>
      <c r="N24" s="240">
        <f t="shared" ref="N24:Q24" si="15">N23/M23-1</f>
        <v>0.10000000000000031</v>
      </c>
      <c r="O24" s="240">
        <f t="shared" si="15"/>
        <v>9.9999999999999867E-2</v>
      </c>
      <c r="P24" s="240">
        <f t="shared" si="15"/>
        <v>8.2812499999999956E-2</v>
      </c>
      <c r="Q24" s="240">
        <f t="shared" si="15"/>
        <v>0.10000000000000009</v>
      </c>
      <c r="R24" s="235"/>
      <c r="S24" s="235"/>
      <c r="T24" s="235"/>
      <c r="U24" s="235"/>
      <c r="V24" s="235"/>
      <c r="W24" s="236"/>
      <c r="X24" s="237"/>
      <c r="Y24" s="237"/>
      <c r="Z24" s="235"/>
      <c r="AA24" s="235"/>
      <c r="AB24" s="235"/>
      <c r="AC24" s="235"/>
      <c r="AD24" s="235"/>
      <c r="AE24" s="238"/>
      <c r="AF24" s="239"/>
      <c r="AG24" s="239"/>
      <c r="AH24" s="239"/>
      <c r="AI24" s="239"/>
      <c r="AJ24" s="239"/>
      <c r="AK24" s="239"/>
      <c r="AL24" s="239"/>
      <c r="AM24" s="239"/>
      <c r="AN24" s="239"/>
      <c r="AO24" s="239"/>
      <c r="AP24" s="239"/>
      <c r="AQ24" s="239"/>
      <c r="AR24" s="239"/>
      <c r="AS24" s="239"/>
      <c r="AT24" s="239"/>
      <c r="AU24" s="239"/>
      <c r="AV24" s="239"/>
    </row>
    <row r="25" spans="1:48" s="239" customFormat="1" outlineLevel="2" x14ac:dyDescent="0.3">
      <c r="A25" s="198"/>
      <c r="B25" s="202"/>
      <c r="C25" s="202"/>
      <c r="D25" s="202"/>
      <c r="E25" s="202"/>
      <c r="F25" s="202"/>
      <c r="G25" s="202"/>
      <c r="H25" s="202"/>
      <c r="I25" s="202"/>
      <c r="J25" s="202"/>
      <c r="K25" s="202"/>
      <c r="L25" s="202"/>
      <c r="M25" s="214"/>
      <c r="N25" s="214"/>
      <c r="O25" s="214"/>
      <c r="P25"/>
      <c r="Q25"/>
      <c r="R25" s="235"/>
      <c r="S25" s="235"/>
      <c r="T25" s="235"/>
      <c r="U25" s="235"/>
      <c r="V25" s="235"/>
      <c r="W25" s="236"/>
      <c r="X25" s="237"/>
      <c r="Y25" s="237"/>
      <c r="Z25" s="235"/>
      <c r="AA25" s="235"/>
      <c r="AB25" s="235"/>
      <c r="AC25" s="235"/>
      <c r="AD25" s="235"/>
      <c r="AE25" s="238"/>
    </row>
    <row r="26" spans="1:48" s="239" customFormat="1" outlineLevel="2" x14ac:dyDescent="0.3">
      <c r="A26" s="198" t="s">
        <v>84</v>
      </c>
      <c r="B26" s="202">
        <f>'GAAP-IFRS'!E11-B23</f>
        <v>5.4650000000000034</v>
      </c>
      <c r="C26" s="202">
        <f>'GAAP-IFRS'!F11-C23</f>
        <v>6.8880000000000052</v>
      </c>
      <c r="D26" s="202">
        <f>'GAAP-IFRS'!G11-D23</f>
        <v>14.114999999999981</v>
      </c>
      <c r="E26" s="202">
        <f>'GAAP-IFRS'!H11-E23</f>
        <v>8.1329999999999814</v>
      </c>
      <c r="F26" s="202">
        <f>'GAAP-IFRS'!I11-F23</f>
        <v>19.169999999999987</v>
      </c>
      <c r="G26" s="202">
        <f>'GAAP-IFRS'!J11-G23</f>
        <v>21.272999999999996</v>
      </c>
      <c r="H26" s="202">
        <f>'GAAP-IFRS'!K11-H23</f>
        <v>17.972000000000008</v>
      </c>
      <c r="I26" s="202">
        <f>'GAAP-IFRS'!L11-I23</f>
        <v>26.462999999999994</v>
      </c>
      <c r="J26" s="202">
        <f>'GAAP-IFRS'!M11-J23</f>
        <v>11.579000000000008</v>
      </c>
      <c r="K26" s="202">
        <f>'GAAP-IFRS'!N11-K23</f>
        <v>27.824999999999989</v>
      </c>
      <c r="L26" s="202">
        <f>'GAAP-IFRS'!O11-L23</f>
        <v>35.962999999999965</v>
      </c>
      <c r="M26" s="204">
        <f>L26*(1+M27)</f>
        <v>39.559299999999965</v>
      </c>
      <c r="N26" s="204">
        <f t="shared" ref="N26:Q26" si="16">M26*(1+N27)</f>
        <v>35.60336999999997</v>
      </c>
      <c r="O26" s="204">
        <f t="shared" si="16"/>
        <v>33.823201499999968</v>
      </c>
      <c r="P26" s="204">
        <f t="shared" si="16"/>
        <v>35.514361574999967</v>
      </c>
      <c r="Q26" s="204">
        <f t="shared" si="16"/>
        <v>37.29007965374997</v>
      </c>
      <c r="R26" s="235"/>
      <c r="S26" s="235"/>
      <c r="T26" s="235"/>
      <c r="U26" s="235"/>
      <c r="V26" s="235"/>
      <c r="W26" s="236"/>
      <c r="X26" s="237"/>
      <c r="Y26" s="237"/>
      <c r="Z26" s="235"/>
      <c r="AA26" s="235"/>
      <c r="AB26" s="235"/>
      <c r="AC26" s="235"/>
      <c r="AD26" s="235"/>
      <c r="AE26" s="238"/>
    </row>
    <row r="27" spans="1:48" outlineLevel="2" x14ac:dyDescent="0.3">
      <c r="A27" s="200" t="s">
        <v>77</v>
      </c>
      <c r="B27" s="199"/>
      <c r="C27" s="201">
        <f t="shared" ref="C27:L27" si="17">C26/B26-1</f>
        <v>0.26038426349496824</v>
      </c>
      <c r="D27" s="201">
        <f t="shared" si="17"/>
        <v>1.0492160278745599</v>
      </c>
      <c r="E27" s="201">
        <f t="shared" si="17"/>
        <v>-0.42380446333687616</v>
      </c>
      <c r="F27" s="201">
        <f t="shared" si="17"/>
        <v>1.3570638140907452</v>
      </c>
      <c r="G27" s="201">
        <f t="shared" si="17"/>
        <v>0.10970266040688625</v>
      </c>
      <c r="H27" s="201">
        <f t="shared" si="17"/>
        <v>-0.15517322427490188</v>
      </c>
      <c r="I27" s="201">
        <f t="shared" si="17"/>
        <v>0.47245715557533829</v>
      </c>
      <c r="J27" s="201">
        <f t="shared" si="17"/>
        <v>-0.5624456788723875</v>
      </c>
      <c r="K27" s="201">
        <f t="shared" si="17"/>
        <v>1.4030572588306391</v>
      </c>
      <c r="L27" s="201">
        <f t="shared" si="17"/>
        <v>0.29247079964061018</v>
      </c>
      <c r="M27" s="210">
        <v>0.1</v>
      </c>
      <c r="N27" s="210">
        <v>-0.1</v>
      </c>
      <c r="O27" s="210">
        <v>-0.05</v>
      </c>
      <c r="P27" s="210">
        <v>0.05</v>
      </c>
      <c r="Q27" s="210">
        <v>0.05</v>
      </c>
      <c r="R27" s="235"/>
      <c r="S27" s="235"/>
      <c r="T27" s="235"/>
      <c r="U27" s="235"/>
      <c r="V27" s="235"/>
      <c r="W27" s="236"/>
      <c r="X27" s="237"/>
      <c r="Y27" s="237"/>
      <c r="Z27" s="235"/>
      <c r="AA27" s="235"/>
      <c r="AB27" s="235"/>
      <c r="AC27" s="235"/>
      <c r="AD27" s="235"/>
      <c r="AE27" s="238"/>
      <c r="AF27" s="239"/>
      <c r="AG27" s="239"/>
      <c r="AH27" s="239"/>
      <c r="AI27" s="239"/>
      <c r="AJ27" s="239"/>
      <c r="AK27" s="239"/>
      <c r="AL27" s="239"/>
      <c r="AM27" s="239"/>
      <c r="AN27" s="239"/>
      <c r="AO27" s="239"/>
      <c r="AP27" s="239"/>
      <c r="AQ27" s="239"/>
      <c r="AR27" s="239"/>
      <c r="AS27" s="239"/>
      <c r="AT27" s="239"/>
      <c r="AU27" s="239"/>
      <c r="AV27" s="239"/>
    </row>
    <row r="28" spans="1:48" outlineLevel="2" x14ac:dyDescent="0.3">
      <c r="A28" s="1"/>
      <c r="B28" s="204"/>
      <c r="C28" s="204"/>
      <c r="D28" s="204"/>
      <c r="E28" s="204"/>
      <c r="F28" s="204"/>
      <c r="G28" s="204"/>
      <c r="H28" s="204"/>
      <c r="I28" s="204"/>
      <c r="J28" s="204"/>
      <c r="K28" s="204"/>
      <c r="L28" s="204"/>
      <c r="M28" s="123"/>
      <c r="N28" s="123"/>
      <c r="O28" s="123"/>
      <c r="P28" s="123"/>
      <c r="Q28" s="123"/>
      <c r="R28" s="124"/>
      <c r="S28" s="124"/>
      <c r="T28" s="124"/>
      <c r="U28" s="124"/>
      <c r="V28" s="124"/>
      <c r="W28" s="203"/>
      <c r="X28" s="126"/>
      <c r="Y28" s="126"/>
      <c r="Z28" s="124"/>
      <c r="AA28" s="124"/>
      <c r="AB28" s="124"/>
      <c r="AC28" s="124"/>
      <c r="AD28" s="124"/>
      <c r="AE28" s="127"/>
    </row>
    <row r="29" spans="1:48" outlineLevel="2" x14ac:dyDescent="0.3">
      <c r="A29" s="208"/>
      <c r="B29" s="209"/>
      <c r="C29" s="209"/>
      <c r="D29" s="209"/>
      <c r="E29" s="209"/>
      <c r="F29" s="209"/>
      <c r="G29" s="209"/>
      <c r="H29" s="209"/>
      <c r="I29" s="209"/>
      <c r="J29" s="209"/>
      <c r="K29" s="209"/>
      <c r="L29" s="209"/>
      <c r="M29" s="204"/>
      <c r="N29" s="204"/>
      <c r="O29" s="123"/>
      <c r="P29" s="123"/>
      <c r="Q29" s="123"/>
      <c r="R29" s="124"/>
      <c r="S29" s="124"/>
      <c r="T29" s="124"/>
      <c r="U29" s="124"/>
      <c r="V29" s="124"/>
      <c r="W29" s="203"/>
      <c r="X29" s="126"/>
      <c r="Y29" s="126"/>
      <c r="Z29" s="124"/>
      <c r="AA29" s="124"/>
      <c r="AB29" s="124"/>
      <c r="AC29" s="124"/>
      <c r="AD29" s="124"/>
      <c r="AE29" s="127"/>
    </row>
    <row r="30" spans="1:48" outlineLevel="2" x14ac:dyDescent="0.3">
      <c r="A30" s="205"/>
      <c r="B30" s="206"/>
      <c r="C30" s="54"/>
      <c r="D30" s="54"/>
      <c r="E30" s="54"/>
      <c r="F30" s="54"/>
      <c r="G30" s="54"/>
      <c r="H30" s="54"/>
      <c r="I30" s="54"/>
      <c r="J30" s="54"/>
      <c r="K30" s="54"/>
      <c r="L30" s="54"/>
      <c r="M30" s="123"/>
      <c r="N30" s="204"/>
      <c r="O30" s="123"/>
      <c r="P30" s="123"/>
      <c r="Q30" s="123"/>
      <c r="R30" s="124"/>
      <c r="S30" s="124"/>
      <c r="T30" s="124"/>
      <c r="U30" s="124"/>
      <c r="V30" s="124"/>
      <c r="W30" s="203"/>
      <c r="X30" s="126"/>
      <c r="Y30" s="126"/>
      <c r="Z30" s="124"/>
      <c r="AA30" s="124"/>
      <c r="AB30" s="124"/>
      <c r="AC30" s="124"/>
      <c r="AD30" s="124"/>
      <c r="AE30" s="127"/>
    </row>
    <row r="31" spans="1:48" outlineLevel="2" x14ac:dyDescent="0.3">
      <c r="A31" s="205"/>
      <c r="B31" s="206"/>
      <c r="C31" s="54"/>
      <c r="D31" s="54"/>
      <c r="E31" s="54"/>
      <c r="F31" s="54"/>
      <c r="G31" s="54"/>
      <c r="H31" s="54"/>
      <c r="I31" s="54"/>
      <c r="J31" s="54"/>
      <c r="K31" s="54"/>
      <c r="L31" s="54"/>
      <c r="M31" s="204"/>
      <c r="N31" s="204"/>
      <c r="O31" s="123"/>
      <c r="P31" s="123"/>
      <c r="Q31" s="123"/>
      <c r="R31" s="124"/>
      <c r="S31" s="124"/>
      <c r="T31" s="124"/>
      <c r="U31" s="124"/>
      <c r="V31" s="124"/>
      <c r="W31" s="203"/>
      <c r="X31" s="126"/>
      <c r="Y31" s="126"/>
      <c r="Z31" s="124"/>
      <c r="AA31" s="124"/>
      <c r="AB31" s="124"/>
      <c r="AC31" s="124"/>
      <c r="AD31" s="124"/>
      <c r="AE31" s="127"/>
    </row>
    <row r="32" spans="1:48" outlineLevel="2" x14ac:dyDescent="0.3">
      <c r="A32" s="1"/>
      <c r="B32" s="54"/>
      <c r="C32" s="54"/>
      <c r="D32" s="54"/>
      <c r="E32" s="54"/>
      <c r="F32" s="54"/>
      <c r="G32" s="54"/>
      <c r="H32" s="54"/>
      <c r="I32" s="54"/>
      <c r="J32" s="54"/>
      <c r="K32" s="54"/>
      <c r="L32" s="54"/>
      <c r="M32" s="204"/>
      <c r="N32" s="123"/>
      <c r="O32" s="123"/>
      <c r="P32" s="123"/>
      <c r="Q32" s="123"/>
      <c r="R32" s="124"/>
      <c r="S32" s="124"/>
      <c r="T32" s="124"/>
      <c r="U32" s="124"/>
      <c r="V32" s="124"/>
      <c r="W32" s="125"/>
      <c r="X32" s="126"/>
      <c r="Y32" s="126"/>
      <c r="Z32" s="124"/>
      <c r="AA32" s="124"/>
      <c r="AB32" s="124"/>
      <c r="AC32" s="124"/>
      <c r="AD32" s="124"/>
      <c r="AE32" s="127"/>
    </row>
    <row r="33" spans="1:31" outlineLevel="2" x14ac:dyDescent="0.3">
      <c r="A33" s="129"/>
      <c r="C33" s="130"/>
      <c r="D33" s="130"/>
      <c r="E33" s="130"/>
      <c r="F33" s="130"/>
      <c r="G33" s="130"/>
      <c r="H33" s="130"/>
      <c r="I33" s="130"/>
      <c r="J33" s="130"/>
      <c r="K33" s="130"/>
      <c r="L33" s="130"/>
      <c r="M33" s="123"/>
      <c r="N33" s="123"/>
      <c r="O33" s="123"/>
      <c r="P33" s="123"/>
      <c r="Q33" s="123"/>
      <c r="R33" s="124"/>
      <c r="S33" s="124"/>
      <c r="T33" s="124"/>
      <c r="U33" s="124"/>
      <c r="V33" s="124"/>
      <c r="W33" s="125"/>
      <c r="X33" s="126"/>
      <c r="Y33" s="126"/>
      <c r="Z33" s="124"/>
      <c r="AA33" s="124"/>
      <c r="AB33" s="124"/>
      <c r="AC33" s="124"/>
      <c r="AD33" s="124"/>
      <c r="AE33" s="127"/>
    </row>
    <row r="34" spans="1:31" outlineLevel="2" x14ac:dyDescent="0.3">
      <c r="A34" s="133"/>
      <c r="B34" s="133"/>
      <c r="C34" s="133"/>
      <c r="D34" s="133"/>
      <c r="E34" s="133"/>
      <c r="F34" s="133"/>
      <c r="G34" s="133"/>
      <c r="H34" s="133"/>
      <c r="I34" s="133"/>
      <c r="J34" s="133"/>
      <c r="K34" s="133"/>
      <c r="L34" s="133"/>
      <c r="M34" s="133"/>
      <c r="N34" s="133"/>
      <c r="O34" s="133"/>
      <c r="P34" s="133"/>
      <c r="Q34" s="133"/>
      <c r="R34" s="121"/>
      <c r="S34" s="121"/>
      <c r="T34" s="121"/>
      <c r="U34" s="121"/>
      <c r="V34" s="121"/>
      <c r="AC34" s="76"/>
    </row>
    <row r="35" spans="1:31" outlineLevel="2" x14ac:dyDescent="0.3">
      <c r="A35" s="131"/>
      <c r="B35" s="132"/>
      <c r="C35" s="133"/>
      <c r="D35" s="133"/>
      <c r="E35" s="133"/>
      <c r="F35" s="133"/>
      <c r="G35" s="133"/>
      <c r="H35" s="133"/>
      <c r="I35" s="133"/>
      <c r="J35" s="133"/>
      <c r="K35" s="133"/>
      <c r="L35" s="133"/>
      <c r="M35" s="133"/>
      <c r="N35" s="133"/>
      <c r="O35" s="133"/>
      <c r="P35" s="133"/>
      <c r="Q35" s="133"/>
      <c r="R35" s="121"/>
      <c r="S35" s="121"/>
      <c r="T35" s="121"/>
      <c r="U35" s="121"/>
      <c r="V35" s="121"/>
      <c r="AC35" s="76"/>
    </row>
    <row r="36" spans="1:31" outlineLevel="2" x14ac:dyDescent="0.3">
      <c r="A36" s="78"/>
      <c r="C36" s="133"/>
      <c r="D36" s="133"/>
      <c r="E36" s="133"/>
      <c r="F36" s="133"/>
      <c r="G36" s="133"/>
      <c r="H36" s="133"/>
      <c r="I36" s="133"/>
      <c r="J36" s="133"/>
      <c r="K36" s="133"/>
      <c r="L36" s="133"/>
      <c r="M36" s="133"/>
      <c r="N36" s="133"/>
      <c r="O36" s="133"/>
      <c r="P36" s="133"/>
      <c r="Q36" s="133"/>
      <c r="R36" s="124"/>
      <c r="S36" s="124"/>
      <c r="T36" s="124"/>
      <c r="U36" s="124"/>
      <c r="V36" s="124"/>
      <c r="W36" s="125"/>
      <c r="X36" s="126"/>
      <c r="Y36" s="126"/>
      <c r="Z36" s="124"/>
      <c r="AA36" s="124"/>
      <c r="AB36" s="124"/>
      <c r="AC36" s="124"/>
      <c r="AD36" s="124"/>
      <c r="AE36" s="127"/>
    </row>
    <row r="37" spans="1:31" outlineLevel="2" collapsed="1" x14ac:dyDescent="0.3">
      <c r="A37" s="129"/>
      <c r="C37" s="130"/>
      <c r="D37" s="130"/>
      <c r="E37" s="130"/>
      <c r="F37" s="130"/>
      <c r="G37" s="130"/>
      <c r="H37" s="130"/>
      <c r="I37" s="130"/>
      <c r="J37" s="130"/>
      <c r="K37" s="130"/>
      <c r="L37" s="130"/>
      <c r="M37" s="123"/>
      <c r="N37" s="123"/>
      <c r="O37" s="123"/>
      <c r="P37" s="123"/>
      <c r="Q37" s="123"/>
      <c r="R37" s="124"/>
      <c r="S37" s="124"/>
      <c r="T37" s="124"/>
      <c r="U37" s="124"/>
      <c r="V37" s="124"/>
      <c r="W37" s="125"/>
      <c r="X37" s="126"/>
      <c r="Y37" s="126"/>
      <c r="Z37" s="124"/>
      <c r="AA37" s="124"/>
      <c r="AB37" s="124"/>
      <c r="AC37" s="124"/>
      <c r="AD37" s="124"/>
      <c r="AE37" s="127"/>
    </row>
    <row r="38" spans="1:31" outlineLevel="2" x14ac:dyDescent="0.3">
      <c r="A38" s="131"/>
      <c r="B38" s="132"/>
      <c r="C38" s="132"/>
      <c r="D38" s="132"/>
      <c r="E38" s="132"/>
      <c r="F38" s="132"/>
      <c r="G38" s="132"/>
      <c r="H38" s="132"/>
      <c r="I38" s="132"/>
      <c r="J38" s="132"/>
      <c r="K38" s="132"/>
      <c r="L38" s="132"/>
      <c r="M38" s="123"/>
      <c r="N38" s="123"/>
      <c r="O38" s="121"/>
      <c r="P38" s="121"/>
      <c r="Q38" s="121"/>
      <c r="R38" s="121"/>
      <c r="S38" s="121"/>
      <c r="T38" s="121"/>
      <c r="U38" s="121"/>
      <c r="V38" s="121"/>
      <c r="AC38" s="76"/>
    </row>
    <row r="39" spans="1:31" outlineLevel="2" x14ac:dyDescent="0.3">
      <c r="A39" s="131"/>
      <c r="B39" s="134"/>
      <c r="C39" s="134"/>
      <c r="D39" s="134"/>
      <c r="E39" s="134"/>
      <c r="F39" s="134"/>
      <c r="G39" s="134"/>
      <c r="H39" s="134"/>
      <c r="I39" s="134"/>
      <c r="J39" s="134"/>
      <c r="K39" s="134"/>
      <c r="L39" s="134"/>
      <c r="M39" s="134"/>
      <c r="N39" s="134"/>
      <c r="O39" s="121"/>
      <c r="P39" s="121"/>
      <c r="Q39" s="121"/>
      <c r="R39" s="121"/>
      <c r="S39" s="121"/>
      <c r="T39" s="121"/>
      <c r="U39" s="121"/>
      <c r="V39" s="121"/>
      <c r="AC39" s="76"/>
    </row>
    <row r="40" spans="1:31" outlineLevel="2" x14ac:dyDescent="0.3">
      <c r="A40" s="131"/>
      <c r="B40" s="132"/>
      <c r="C40" s="132"/>
      <c r="D40" s="132"/>
      <c r="E40" s="132"/>
      <c r="F40" s="132"/>
      <c r="G40" s="132"/>
      <c r="H40" s="132"/>
      <c r="I40" s="132"/>
      <c r="J40" s="132"/>
      <c r="K40" s="132"/>
      <c r="L40" s="132"/>
      <c r="M40" s="132"/>
      <c r="N40" s="132"/>
      <c r="O40" s="121"/>
      <c r="P40" s="121"/>
      <c r="Q40" s="121"/>
      <c r="R40" s="121"/>
      <c r="S40" s="121"/>
      <c r="T40" s="121"/>
      <c r="U40" s="121"/>
      <c r="V40" s="121"/>
      <c r="AC40" s="76"/>
    </row>
    <row r="41" spans="1:31" outlineLevel="2" x14ac:dyDescent="0.3">
      <c r="B41" s="121"/>
      <c r="C41" s="121"/>
      <c r="D41" s="121"/>
      <c r="E41" s="121"/>
      <c r="F41" s="121"/>
      <c r="G41" s="121"/>
      <c r="H41" s="121"/>
      <c r="I41" s="121"/>
      <c r="J41" s="121"/>
      <c r="K41" s="121"/>
      <c r="L41" s="121"/>
      <c r="M41" s="121"/>
      <c r="N41" s="121"/>
      <c r="O41" s="121"/>
      <c r="P41" s="121"/>
      <c r="Q41" s="121"/>
      <c r="R41" s="121"/>
      <c r="S41" s="121"/>
      <c r="T41" s="121"/>
      <c r="U41" s="121"/>
      <c r="V41" s="121"/>
      <c r="AC41" s="76"/>
    </row>
    <row r="42" spans="1:31" outlineLevel="2" x14ac:dyDescent="0.3">
      <c r="B42" s="121"/>
      <c r="C42" s="121"/>
      <c r="D42" s="121"/>
      <c r="E42" s="121" t="s">
        <v>85</v>
      </c>
      <c r="F42" s="121"/>
      <c r="G42" s="121"/>
      <c r="H42" s="121"/>
      <c r="I42" s="121"/>
      <c r="J42" s="121"/>
      <c r="K42" s="121"/>
      <c r="L42" s="121"/>
      <c r="M42" s="121"/>
      <c r="N42" s="121"/>
      <c r="O42" s="121"/>
      <c r="P42" s="121"/>
      <c r="Q42" s="121"/>
      <c r="R42" s="121"/>
      <c r="S42" s="121"/>
      <c r="T42" s="121"/>
      <c r="U42" s="121"/>
      <c r="V42" s="121"/>
      <c r="AC42" s="76"/>
    </row>
    <row r="43" spans="1:31" outlineLevel="2" x14ac:dyDescent="0.3">
      <c r="B43" s="121"/>
      <c r="C43" s="121"/>
      <c r="D43" s="121"/>
      <c r="E43" s="121"/>
      <c r="F43" s="121"/>
      <c r="G43" s="121"/>
      <c r="H43" s="121"/>
      <c r="I43" s="121"/>
      <c r="J43" s="121"/>
      <c r="K43" s="121"/>
      <c r="L43" s="121"/>
      <c r="M43" s="215"/>
      <c r="N43" s="215"/>
      <c r="O43" s="215"/>
      <c r="P43" s="121"/>
      <c r="Q43" s="121"/>
      <c r="R43" s="121"/>
      <c r="S43" s="121"/>
      <c r="T43" s="121"/>
      <c r="U43" s="121"/>
      <c r="V43" s="121"/>
      <c r="AC43" s="76"/>
    </row>
    <row r="44" spans="1:31" outlineLevel="2" x14ac:dyDescent="0.3">
      <c r="B44" s="121"/>
      <c r="C44" s="121"/>
      <c r="D44" s="121"/>
      <c r="E44" s="121"/>
      <c r="F44" s="121"/>
      <c r="G44" s="121"/>
      <c r="H44" s="121"/>
      <c r="I44" s="121"/>
      <c r="J44" s="121"/>
      <c r="K44" s="121"/>
      <c r="L44" s="121"/>
      <c r="M44" s="121"/>
      <c r="N44" s="121"/>
      <c r="O44" s="121"/>
      <c r="P44" s="121"/>
      <c r="Q44" s="121"/>
      <c r="R44" s="121"/>
      <c r="S44" s="121"/>
      <c r="T44" s="121"/>
      <c r="U44" s="121"/>
      <c r="V44" s="121"/>
      <c r="AC44" s="76"/>
    </row>
    <row r="45" spans="1:31" ht="14.45" customHeight="1" outlineLevel="2" x14ac:dyDescent="0.3">
      <c r="A45" s="131" t="s">
        <v>86</v>
      </c>
      <c r="B45" s="133">
        <f t="shared" ref="B45:Q45" si="18">B23+B26</f>
        <v>163.065</v>
      </c>
      <c r="C45" s="133">
        <f t="shared" si="18"/>
        <v>241.08799999999999</v>
      </c>
      <c r="D45" s="133">
        <f t="shared" si="18"/>
        <v>266.21499999999997</v>
      </c>
      <c r="E45" s="133">
        <f t="shared" si="18"/>
        <v>290.63299999999998</v>
      </c>
      <c r="F45" s="133">
        <f t="shared" si="18"/>
        <v>262.77</v>
      </c>
      <c r="G45" s="133">
        <f t="shared" si="18"/>
        <v>245.87299999999999</v>
      </c>
      <c r="H45" s="133">
        <f t="shared" si="18"/>
        <v>231.37200000000001</v>
      </c>
      <c r="I45" s="133">
        <f t="shared" si="18"/>
        <v>242.76300000000001</v>
      </c>
      <c r="J45" s="133">
        <f t="shared" si="18"/>
        <v>274.07900000000001</v>
      </c>
      <c r="K45" s="133">
        <f t="shared" si="18"/>
        <v>405.125</v>
      </c>
      <c r="L45" s="133">
        <f t="shared" si="18"/>
        <v>499.56299999999999</v>
      </c>
      <c r="M45" s="133">
        <f>M23+M26</f>
        <v>549.75936400000001</v>
      </c>
      <c r="N45" s="133">
        <f t="shared" si="18"/>
        <v>596.82344040000009</v>
      </c>
      <c r="O45" s="133">
        <f t="shared" si="18"/>
        <v>651.16527894000012</v>
      </c>
      <c r="P45" s="133">
        <f t="shared" si="18"/>
        <v>703.98007980300008</v>
      </c>
      <c r="Q45" s="133">
        <f t="shared" si="18"/>
        <v>772.60236970455014</v>
      </c>
      <c r="R45" s="121"/>
      <c r="S45" s="121"/>
      <c r="T45" s="121"/>
      <c r="U45" s="121"/>
      <c r="V45" s="121"/>
      <c r="AC45" s="76"/>
    </row>
    <row r="46" spans="1:31" outlineLevel="2" collapsed="1" x14ac:dyDescent="0.3">
      <c r="A46" s="129" t="s">
        <v>87</v>
      </c>
      <c r="C46" s="130">
        <f t="shared" ref="C46:L46" si="19">C45/B45-1</f>
        <v>0.47847790758286579</v>
      </c>
      <c r="D46" s="130">
        <f t="shared" si="19"/>
        <v>0.10422335412795314</v>
      </c>
      <c r="E46" s="130">
        <f t="shared" si="19"/>
        <v>9.1722855586649832E-2</v>
      </c>
      <c r="F46" s="130">
        <f t="shared" si="19"/>
        <v>-9.5870049168539029E-2</v>
      </c>
      <c r="G46" s="130">
        <f t="shared" si="19"/>
        <v>-6.4303383186817387E-2</v>
      </c>
      <c r="H46" s="130">
        <f t="shared" si="19"/>
        <v>-5.8977602258076245E-2</v>
      </c>
      <c r="I46" s="130">
        <f t="shared" si="19"/>
        <v>4.9232404958249099E-2</v>
      </c>
      <c r="J46" s="130">
        <f t="shared" si="19"/>
        <v>0.12899824108286673</v>
      </c>
      <c r="K46" s="130">
        <f t="shared" si="19"/>
        <v>0.47813221735339084</v>
      </c>
      <c r="L46" s="130">
        <f t="shared" si="19"/>
        <v>0.23310829990743587</v>
      </c>
      <c r="M46" s="130">
        <f>M45/L45-1</f>
        <v>0.10048054799895101</v>
      </c>
      <c r="N46" s="130">
        <f t="shared" ref="N46:Q46" si="20">N45/M45-1</f>
        <v>8.5608503432421879E-2</v>
      </c>
      <c r="O46" s="130">
        <f t="shared" si="20"/>
        <v>9.1051783260354791E-2</v>
      </c>
      <c r="P46" s="130">
        <f t="shared" si="20"/>
        <v>8.1108134249686215E-2</v>
      </c>
      <c r="Q46" s="130">
        <f t="shared" si="20"/>
        <v>9.7477601810484593E-2</v>
      </c>
      <c r="R46" s="124"/>
      <c r="S46" s="124"/>
      <c r="T46" s="124"/>
      <c r="U46" s="124"/>
      <c r="V46" s="124"/>
      <c r="W46" s="125"/>
      <c r="X46" s="126"/>
      <c r="Y46" s="126"/>
      <c r="Z46" s="124"/>
      <c r="AA46" s="124"/>
      <c r="AB46" s="124"/>
      <c r="AC46" s="124"/>
      <c r="AD46" s="124"/>
      <c r="AE46" s="127"/>
    </row>
    <row r="47" spans="1:31" outlineLevel="2" x14ac:dyDescent="0.3">
      <c r="A47" s="135"/>
      <c r="B47" s="120"/>
      <c r="C47" s="120"/>
      <c r="D47" s="120"/>
      <c r="E47" s="120"/>
      <c r="F47" s="120"/>
      <c r="G47" s="120"/>
      <c r="H47" s="194"/>
      <c r="I47" s="120"/>
      <c r="J47" s="120"/>
      <c r="K47" s="120"/>
      <c r="L47" s="120"/>
      <c r="M47" s="120"/>
      <c r="N47" s="120"/>
      <c r="O47" s="121"/>
      <c r="P47" s="121"/>
      <c r="Q47" s="121"/>
      <c r="R47" s="121"/>
      <c r="S47" s="121"/>
      <c r="T47" s="121"/>
      <c r="U47" s="121"/>
      <c r="V47" s="121"/>
      <c r="AC47" s="76"/>
    </row>
    <row r="48" spans="1:31" outlineLevel="2" x14ac:dyDescent="0.3">
      <c r="A48" s="131" t="s">
        <v>88</v>
      </c>
      <c r="B48" s="136">
        <f>B51-B45</f>
        <v>70.542000000000002</v>
      </c>
      <c r="C48" s="136">
        <f>C51-C45</f>
        <v>0</v>
      </c>
      <c r="D48" s="136">
        <f t="shared" ref="D48:L48" si="21">D51-D45</f>
        <v>-0.1069999999999709</v>
      </c>
      <c r="E48" s="136">
        <f t="shared" si="21"/>
        <v>-4.6809999999999832</v>
      </c>
      <c r="F48" s="136">
        <f>F51-F45</f>
        <v>1.6760000000000446</v>
      </c>
      <c r="G48" s="136">
        <f t="shared" si="21"/>
        <v>-1.4669999999999845</v>
      </c>
      <c r="H48" s="136">
        <f t="shared" si="21"/>
        <v>-8.0000000000012506E-2</v>
      </c>
      <c r="I48" s="136">
        <f t="shared" si="21"/>
        <v>-0.28900000000001569</v>
      </c>
      <c r="J48" s="136">
        <f>J51-J45</f>
        <v>36.358000000000004</v>
      </c>
      <c r="K48" s="136">
        <f t="shared" si="21"/>
        <v>2.7900000000000205</v>
      </c>
      <c r="L48" s="136">
        <f t="shared" si="21"/>
        <v>0</v>
      </c>
      <c r="M48" s="137"/>
      <c r="N48" s="137"/>
      <c r="O48" s="137"/>
      <c r="P48" s="137"/>
      <c r="Q48" s="137"/>
      <c r="R48" s="121"/>
      <c r="S48" s="121"/>
      <c r="T48" s="121"/>
      <c r="U48" s="121"/>
      <c r="V48" s="121"/>
      <c r="AC48" s="76"/>
    </row>
    <row r="49" spans="1:40" outlineLevel="2" collapsed="1" x14ac:dyDescent="0.3">
      <c r="A49" s="129" t="s">
        <v>89</v>
      </c>
      <c r="B49" s="207">
        <f>B48/B$45</f>
        <v>0.43260049673443107</v>
      </c>
      <c r="C49" s="207">
        <f t="shared" ref="C49:L49" si="22">C48/C$45</f>
        <v>0</v>
      </c>
      <c r="D49" s="207">
        <f t="shared" si="22"/>
        <v>-4.0193077024198824E-4</v>
      </c>
      <c r="E49" s="207">
        <f t="shared" si="22"/>
        <v>-1.610622331256252E-2</v>
      </c>
      <c r="F49" s="207">
        <f t="shared" si="22"/>
        <v>6.3782014689654247E-3</v>
      </c>
      <c r="G49" s="207">
        <f t="shared" si="22"/>
        <v>-5.9664948977723644E-3</v>
      </c>
      <c r="H49" s="207">
        <f t="shared" si="22"/>
        <v>-3.4576353232030021E-4</v>
      </c>
      <c r="I49" s="207">
        <f t="shared" si="22"/>
        <v>-1.1904614788909994E-3</v>
      </c>
      <c r="J49" s="207">
        <f t="shared" si="22"/>
        <v>0.13265518335954232</v>
      </c>
      <c r="K49" s="207">
        <f t="shared" si="22"/>
        <v>6.8867633446467649E-3</v>
      </c>
      <c r="L49" s="207">
        <f t="shared" si="22"/>
        <v>0</v>
      </c>
      <c r="M49" s="137"/>
      <c r="N49" s="137"/>
      <c r="O49" s="137"/>
      <c r="P49" s="137"/>
      <c r="Q49" s="137"/>
      <c r="R49" s="124"/>
      <c r="S49" s="124"/>
      <c r="T49" s="124"/>
      <c r="U49" s="124"/>
      <c r="V49" s="124"/>
      <c r="W49" s="125"/>
      <c r="X49" s="126"/>
      <c r="Y49" s="126"/>
      <c r="Z49" s="124"/>
      <c r="AA49" s="124"/>
      <c r="AB49" s="124"/>
      <c r="AC49" s="124"/>
      <c r="AD49" s="124"/>
      <c r="AE49" s="127"/>
    </row>
    <row r="50" spans="1:40" outlineLevel="2" x14ac:dyDescent="0.3">
      <c r="A50" s="131"/>
      <c r="B50" s="132"/>
      <c r="C50" s="132"/>
      <c r="D50" s="132"/>
      <c r="E50" s="132"/>
      <c r="F50" s="132"/>
      <c r="G50" s="132"/>
      <c r="H50" s="132"/>
      <c r="I50" s="132"/>
      <c r="J50" s="132"/>
      <c r="K50" s="132"/>
      <c r="L50" s="132"/>
      <c r="M50" s="137"/>
      <c r="N50" s="137"/>
      <c r="O50" s="137"/>
      <c r="P50" s="137"/>
      <c r="Q50" s="137"/>
      <c r="R50" s="121"/>
      <c r="S50" s="121"/>
      <c r="T50" s="121"/>
      <c r="U50" s="121"/>
      <c r="V50" s="121"/>
      <c r="AC50" s="76"/>
    </row>
    <row r="51" spans="1:40" outlineLevel="2" x14ac:dyDescent="0.3">
      <c r="A51" s="131" t="s">
        <v>90</v>
      </c>
      <c r="B51" s="138">
        <f>'Broker Actual'!E11</f>
        <v>233.607</v>
      </c>
      <c r="C51" s="138">
        <f>'Broker Actual'!F11</f>
        <v>241.08799999999999</v>
      </c>
      <c r="D51" s="138">
        <f>'Broker Actual'!G11</f>
        <v>266.108</v>
      </c>
      <c r="E51" s="138">
        <f>'Broker Actual'!H11</f>
        <v>285.952</v>
      </c>
      <c r="F51" s="138">
        <f>'Broker Actual'!I11</f>
        <v>264.44600000000003</v>
      </c>
      <c r="G51" s="138">
        <f>'Broker Actual'!J11</f>
        <v>244.40600000000001</v>
      </c>
      <c r="H51" s="138">
        <f>'Broker Actual'!K11</f>
        <v>231.292</v>
      </c>
      <c r="I51" s="138">
        <f>'Broker Actual'!L11</f>
        <v>242.47399999999999</v>
      </c>
      <c r="J51" s="138">
        <f>'Broker Actual'!M11</f>
        <v>310.43700000000001</v>
      </c>
      <c r="K51" s="138">
        <f>'Broker Actual'!N11</f>
        <v>407.91500000000002</v>
      </c>
      <c r="L51" s="138">
        <f>'Broker Actual'!O11</f>
        <v>499.56299999999999</v>
      </c>
      <c r="M51" s="137"/>
      <c r="N51" s="137"/>
      <c r="O51" s="137"/>
      <c r="P51" s="137"/>
      <c r="Q51" s="137"/>
      <c r="R51" s="121"/>
      <c r="S51" s="121"/>
      <c r="T51" s="121"/>
      <c r="U51" s="121"/>
      <c r="V51" s="121"/>
      <c r="AC51" s="76"/>
    </row>
    <row r="52" spans="1:40" outlineLevel="2" collapsed="1" x14ac:dyDescent="0.3">
      <c r="A52" s="129" t="s">
        <v>87</v>
      </c>
      <c r="C52" s="130">
        <f t="shared" ref="C52:L52" si="23">C51/B51-1</f>
        <v>3.2023869147756789E-2</v>
      </c>
      <c r="D52" s="130">
        <f t="shared" si="23"/>
        <v>0.10377953278470931</v>
      </c>
      <c r="E52" s="130">
        <f t="shared" si="23"/>
        <v>7.457122671997829E-2</v>
      </c>
      <c r="F52" s="130">
        <f t="shared" si="23"/>
        <v>-7.5208426589077781E-2</v>
      </c>
      <c r="G52" s="130">
        <f t="shared" si="23"/>
        <v>-7.5781066834060717E-2</v>
      </c>
      <c r="H52" s="130">
        <f t="shared" si="23"/>
        <v>-5.3656620541230549E-2</v>
      </c>
      <c r="I52" s="130">
        <f t="shared" si="23"/>
        <v>4.8345813949466354E-2</v>
      </c>
      <c r="J52" s="130">
        <f t="shared" si="23"/>
        <v>0.28028984550920932</v>
      </c>
      <c r="K52" s="130">
        <f t="shared" si="23"/>
        <v>0.31400251902962606</v>
      </c>
      <c r="L52" s="130">
        <f t="shared" si="23"/>
        <v>0.22467425811749986</v>
      </c>
      <c r="M52" s="137"/>
      <c r="N52" s="137"/>
      <c r="O52" s="137"/>
      <c r="P52" s="137"/>
      <c r="Q52" s="137"/>
      <c r="R52" s="124"/>
      <c r="S52" s="124"/>
      <c r="T52" s="124"/>
      <c r="U52" s="124"/>
      <c r="V52" s="124"/>
      <c r="W52" s="125"/>
      <c r="X52" s="126"/>
      <c r="Y52" s="126"/>
      <c r="Z52" s="124"/>
      <c r="AA52" s="124"/>
      <c r="AB52" s="124"/>
      <c r="AC52" s="124"/>
      <c r="AD52" s="124"/>
      <c r="AE52" s="127"/>
    </row>
    <row r="53" spans="1:40" outlineLevel="2" x14ac:dyDescent="0.3">
      <c r="A53" s="129"/>
      <c r="C53" s="130"/>
      <c r="D53" s="130"/>
      <c r="E53" s="130"/>
      <c r="F53" s="130"/>
      <c r="G53" s="130"/>
      <c r="H53" s="130"/>
      <c r="I53" s="130"/>
      <c r="J53" s="130"/>
      <c r="K53" s="130"/>
      <c r="L53" s="130"/>
      <c r="M53" s="130"/>
      <c r="N53" s="130"/>
      <c r="O53" s="130"/>
      <c r="P53" s="130"/>
      <c r="Q53" s="130"/>
      <c r="R53" s="124"/>
      <c r="S53" s="124"/>
      <c r="T53" s="124"/>
      <c r="U53" s="124"/>
      <c r="V53" s="124"/>
      <c r="W53" s="125"/>
      <c r="X53" s="126"/>
      <c r="Y53" s="126"/>
      <c r="Z53" s="124"/>
      <c r="AA53" s="124"/>
      <c r="AB53" s="124"/>
      <c r="AC53" s="124"/>
      <c r="AD53" s="124"/>
      <c r="AE53" s="127"/>
    </row>
    <row r="54" spans="1:40" outlineLevel="2" x14ac:dyDescent="0.3">
      <c r="A54" s="79" t="str">
        <f>"Reconcile "&amp;A57&amp;" with"&amp;" above"</f>
        <v>Reconcile Revenue (Historical Data: Broker Actual) with above</v>
      </c>
      <c r="B54" s="128">
        <f t="shared" ref="B54:L54" si="24">B57-B51</f>
        <v>0</v>
      </c>
      <c r="C54" s="128">
        <f t="shared" si="24"/>
        <v>0</v>
      </c>
      <c r="D54" s="128">
        <f t="shared" si="24"/>
        <v>0</v>
      </c>
      <c r="E54" s="128">
        <f t="shared" si="24"/>
        <v>0</v>
      </c>
      <c r="F54" s="128">
        <f t="shared" si="24"/>
        <v>0</v>
      </c>
      <c r="G54" s="128">
        <f t="shared" si="24"/>
        <v>0</v>
      </c>
      <c r="H54" s="128">
        <f t="shared" si="24"/>
        <v>0</v>
      </c>
      <c r="I54" s="128">
        <f>I57-I51</f>
        <v>0</v>
      </c>
      <c r="J54" s="128">
        <f t="shared" si="24"/>
        <v>0</v>
      </c>
      <c r="K54" s="128">
        <f t="shared" si="24"/>
        <v>0</v>
      </c>
      <c r="L54" s="128">
        <f t="shared" si="24"/>
        <v>0</v>
      </c>
      <c r="M54" s="139">
        <v>0</v>
      </c>
      <c r="N54" s="139">
        <v>0</v>
      </c>
      <c r="O54" s="139">
        <v>0</v>
      </c>
      <c r="P54" s="139">
        <v>0</v>
      </c>
      <c r="Q54" s="139">
        <v>0</v>
      </c>
      <c r="R54" s="121"/>
      <c r="S54" s="121"/>
      <c r="T54" s="121"/>
      <c r="U54" s="121"/>
      <c r="V54" s="121"/>
      <c r="AC54" s="76"/>
    </row>
    <row r="55" spans="1:40" outlineLevel="2" collapsed="1" x14ac:dyDescent="0.3">
      <c r="A55" s="129" t="s">
        <v>89</v>
      </c>
      <c r="B55" s="207">
        <f>B54/B$45</f>
        <v>0</v>
      </c>
      <c r="C55" s="207">
        <f t="shared" ref="C55:L55" si="25">C54/C$45</f>
        <v>0</v>
      </c>
      <c r="D55" s="207">
        <f t="shared" si="25"/>
        <v>0</v>
      </c>
      <c r="E55" s="207">
        <f t="shared" si="25"/>
        <v>0</v>
      </c>
      <c r="F55" s="207">
        <f t="shared" si="25"/>
        <v>0</v>
      </c>
      <c r="G55" s="207">
        <f t="shared" si="25"/>
        <v>0</v>
      </c>
      <c r="H55" s="207">
        <f t="shared" si="25"/>
        <v>0</v>
      </c>
      <c r="I55" s="207">
        <f t="shared" si="25"/>
        <v>0</v>
      </c>
      <c r="J55" s="207">
        <f t="shared" si="25"/>
        <v>0</v>
      </c>
      <c r="K55" s="207">
        <f t="shared" si="25"/>
        <v>0</v>
      </c>
      <c r="L55" s="207">
        <f t="shared" si="25"/>
        <v>0</v>
      </c>
      <c r="M55" s="137"/>
      <c r="N55" s="137"/>
      <c r="O55" s="137"/>
      <c r="P55" s="137"/>
      <c r="Q55" s="137"/>
      <c r="R55" s="124"/>
      <c r="S55" s="124"/>
      <c r="T55" s="124"/>
      <c r="U55" s="124"/>
      <c r="V55" s="124"/>
      <c r="W55" s="125"/>
      <c r="X55" s="126"/>
      <c r="Y55" s="126"/>
      <c r="Z55" s="124"/>
      <c r="AA55" s="124"/>
      <c r="AB55" s="124"/>
      <c r="AC55" s="124"/>
      <c r="AD55" s="124"/>
      <c r="AE55" s="127"/>
    </row>
    <row r="56" spans="1:40" outlineLevel="1" x14ac:dyDescent="0.3">
      <c r="L56" s="128"/>
      <c r="M56" s="128"/>
      <c r="N56" s="128"/>
      <c r="O56" s="128"/>
      <c r="P56" s="128"/>
      <c r="Q56" s="128"/>
      <c r="R56" s="121"/>
      <c r="S56" s="121"/>
      <c r="T56" s="121"/>
      <c r="U56" s="121"/>
      <c r="V56" s="121"/>
      <c r="AC56" s="76"/>
    </row>
    <row r="57" spans="1:40" outlineLevel="1" x14ac:dyDescent="0.3">
      <c r="A57" s="118" t="str">
        <f>"Revenue (Historical Data: "&amp;B2&amp;")"</f>
        <v>Revenue (Historical Data: Broker Actual)</v>
      </c>
      <c r="B57" s="140">
        <f>CHOOSE(IF($B$1=2,2,1),'GAAP-IFRS'!E11,IF('Broker Actual'!E11="-",'GAAP-IFRS'!E11,'Broker Actual'!E11))</f>
        <v>233.607</v>
      </c>
      <c r="C57" s="140">
        <f>CHOOSE(IF($B$1=2,2,1),'GAAP-IFRS'!F11,IF('Broker Actual'!F11="-",'GAAP-IFRS'!F11,'Broker Actual'!F11))</f>
        <v>241.08799999999999</v>
      </c>
      <c r="D57" s="140">
        <f>CHOOSE(IF($B$1=2,2,1),'GAAP-IFRS'!G11,IF('Broker Actual'!G11="-",'GAAP-IFRS'!G11,'Broker Actual'!G11))</f>
        <v>266.108</v>
      </c>
      <c r="E57" s="140">
        <f>CHOOSE(IF($B$1=2,2,1),'GAAP-IFRS'!H11,IF('Broker Actual'!H11="-",'GAAP-IFRS'!H11,'Broker Actual'!H11))</f>
        <v>285.952</v>
      </c>
      <c r="F57" s="140">
        <f>CHOOSE(IF($B$1=2,2,1),'GAAP-IFRS'!I11,IF('Broker Actual'!I11="-",'GAAP-IFRS'!I11,'Broker Actual'!I11))</f>
        <v>264.44600000000003</v>
      </c>
      <c r="G57" s="140">
        <f>CHOOSE(IF($B$1=2,2,1),'GAAP-IFRS'!J11,IF('Broker Actual'!J11="-",'GAAP-IFRS'!J11,'Broker Actual'!J11))</f>
        <v>244.40600000000001</v>
      </c>
      <c r="H57" s="140">
        <f>CHOOSE(IF($B$1=2,2,1),'GAAP-IFRS'!K11,IF('Broker Actual'!K11="-",'GAAP-IFRS'!K11,'Broker Actual'!K11))</f>
        <v>231.292</v>
      </c>
      <c r="I57" s="140">
        <f>CHOOSE(IF($B$1=2,2,1),'GAAP-IFRS'!L11,IF('Broker Actual'!L11="-",'GAAP-IFRS'!L11,'Broker Actual'!L11))</f>
        <v>242.47399999999999</v>
      </c>
      <c r="J57" s="140">
        <f>CHOOSE(IF($B$1=2,2,1),'GAAP-IFRS'!M11,IF('Broker Actual'!M11="-",'GAAP-IFRS'!M11,'Broker Actual'!M11))</f>
        <v>310.43700000000001</v>
      </c>
      <c r="K57" s="140">
        <f>CHOOSE(IF($B$1=2,2,1),'GAAP-IFRS'!N11,IF('Broker Actual'!N11="-",'GAAP-IFRS'!N11,'Broker Actual'!N11))</f>
        <v>407.91500000000002</v>
      </c>
      <c r="L57" s="140">
        <f>CHOOSE(IF($B$1=2,2,1),'GAAP-IFRS'!O11,IF('Broker Actual'!O11="-",'GAAP-IFRS'!O11,'Broker Actual'!O11))</f>
        <v>499.56299999999999</v>
      </c>
      <c r="M57" s="141">
        <f>M45+M54</f>
        <v>549.75936400000001</v>
      </c>
      <c r="N57" s="141">
        <f t="shared" ref="N57:Q57" si="26">N45+N54</f>
        <v>596.82344040000009</v>
      </c>
      <c r="O57" s="141">
        <f t="shared" si="26"/>
        <v>651.16527894000012</v>
      </c>
      <c r="P57" s="141">
        <f t="shared" si="26"/>
        <v>703.98007980300008</v>
      </c>
      <c r="Q57" s="141">
        <f t="shared" si="26"/>
        <v>772.60236970455014</v>
      </c>
      <c r="R57" s="124"/>
      <c r="S57" s="124"/>
      <c r="T57" s="124"/>
      <c r="U57" s="124"/>
      <c r="V57" s="124"/>
      <c r="W57" s="125"/>
      <c r="X57" s="126" t="s">
        <v>91</v>
      </c>
      <c r="Y57" s="126" t="s">
        <v>92</v>
      </c>
      <c r="Z57" s="124" cm="1">
        <f t="array" ref="Z57">_xll.FDSC("--",$A$1,""&amp;$X57&amp;"("&amp;$Y57&amp;","&amp;D$2&amp;",ANNUAL_ROLL,+1,0,,,'CURRENCY="&amp;$E$1&amp;"')")</f>
        <v>508.976</v>
      </c>
      <c r="AA57" s="124" cm="1">
        <f t="array" ref="AA57">_xll.FDSC("--",$A$1,""&amp;$X57&amp;"("&amp;$Y57&amp;","&amp;D$2&amp;",ANNUAL_ROLL,+2,0,,,'CURRENCY="&amp;$E$1&amp;"')")</f>
        <v>579.02200000000005</v>
      </c>
      <c r="AB57" s="124" t="str" cm="1">
        <f t="array" ref="AB57">_xll.FDSC("--",$A$1,""&amp;$X57&amp;"("&amp;$Y57&amp;","&amp;D$2&amp;",ANNUAL_ROLL,+3,0,,,'CURRENCY="&amp;$E$1&amp;"')")</f>
        <v>--</v>
      </c>
      <c r="AC57" s="124"/>
      <c r="AD57" s="124"/>
      <c r="AE57" s="127"/>
    </row>
    <row r="58" spans="1:40" outlineLevel="1" x14ac:dyDescent="0.3">
      <c r="A58" s="129" t="s">
        <v>87</v>
      </c>
      <c r="C58" s="130">
        <f>C57/B57-1</f>
        <v>3.2023869147756789E-2</v>
      </c>
      <c r="D58" s="130">
        <f t="shared" ref="D58:L58" si="27">D57/C57-1</f>
        <v>0.10377953278470931</v>
      </c>
      <c r="E58" s="130">
        <f t="shared" si="27"/>
        <v>7.457122671997829E-2</v>
      </c>
      <c r="F58" s="130">
        <f t="shared" si="27"/>
        <v>-7.5208426589077781E-2</v>
      </c>
      <c r="G58" s="130">
        <f t="shared" si="27"/>
        <v>-7.5781066834060717E-2</v>
      </c>
      <c r="H58" s="130">
        <f t="shared" si="27"/>
        <v>-5.3656620541230549E-2</v>
      </c>
      <c r="I58" s="130">
        <f t="shared" si="27"/>
        <v>4.8345813949466354E-2</v>
      </c>
      <c r="J58" s="130">
        <f t="shared" si="27"/>
        <v>0.28028984550920932</v>
      </c>
      <c r="K58" s="130">
        <f t="shared" si="27"/>
        <v>0.31400251902962606</v>
      </c>
      <c r="L58" s="130">
        <f t="shared" si="27"/>
        <v>0.22467425811749986</v>
      </c>
      <c r="M58" s="142">
        <f>M57/L57-1</f>
        <v>0.10048054799895101</v>
      </c>
      <c r="N58" s="142">
        <f>N57/M57-1</f>
        <v>8.5608503432421879E-2</v>
      </c>
      <c r="O58" s="142">
        <f>O57/N57-1</f>
        <v>9.1051783260354791E-2</v>
      </c>
      <c r="P58" s="142">
        <f>P57/O57-1</f>
        <v>8.1108134249686215E-2</v>
      </c>
      <c r="Q58" s="142">
        <f>Q57/P57-1</f>
        <v>9.7477601810484593E-2</v>
      </c>
      <c r="R58" s="124"/>
      <c r="S58" s="124"/>
      <c r="T58" s="124"/>
      <c r="U58" s="124"/>
      <c r="V58" s="124"/>
      <c r="W58" s="125"/>
      <c r="X58" s="126"/>
      <c r="Y58" s="126"/>
      <c r="Z58" s="124"/>
      <c r="AA58" s="124"/>
      <c r="AB58" s="124"/>
      <c r="AC58" s="124"/>
      <c r="AD58" s="124"/>
      <c r="AE58" s="127"/>
    </row>
    <row r="59" spans="1:40" outlineLevel="1" x14ac:dyDescent="0.3">
      <c r="A59" s="129"/>
      <c r="C59" s="130"/>
      <c r="D59" s="130"/>
      <c r="E59" s="130"/>
      <c r="F59" s="130"/>
      <c r="G59" s="130"/>
      <c r="H59" s="130"/>
      <c r="I59" s="130"/>
      <c r="J59" s="130"/>
      <c r="K59" s="130"/>
      <c r="L59" s="130"/>
      <c r="M59" s="123"/>
      <c r="N59" s="123"/>
      <c r="O59" s="123"/>
      <c r="P59" s="123"/>
      <c r="Q59" s="123"/>
      <c r="R59" s="124"/>
      <c r="S59" s="124"/>
      <c r="T59" s="124"/>
      <c r="U59" s="124"/>
      <c r="V59" s="124"/>
      <c r="W59" s="125"/>
      <c r="X59" s="126"/>
      <c r="Y59" s="126"/>
      <c r="Z59" s="124"/>
      <c r="AA59" s="124"/>
      <c r="AB59" s="124"/>
      <c r="AC59" s="124"/>
      <c r="AD59" s="124"/>
      <c r="AE59" s="127"/>
    </row>
    <row r="60" spans="1:40" outlineLevel="1" x14ac:dyDescent="0.3">
      <c r="A60" s="118" t="s">
        <v>93</v>
      </c>
      <c r="B60" s="124"/>
      <c r="C60" s="124"/>
      <c r="D60" s="124"/>
      <c r="E60" s="124"/>
      <c r="F60" s="154"/>
      <c r="G60" s="124"/>
      <c r="H60" s="124"/>
      <c r="I60" s="124"/>
      <c r="J60" s="124"/>
      <c r="K60" s="124"/>
      <c r="L60" s="124"/>
      <c r="M60" s="141"/>
      <c r="N60" s="141"/>
      <c r="O60" s="141"/>
      <c r="P60" s="141"/>
      <c r="Q60" s="141"/>
      <c r="R60" s="124"/>
      <c r="S60" s="124"/>
      <c r="T60" s="124"/>
      <c r="U60" s="124"/>
      <c r="V60" s="124"/>
      <c r="W60" s="125"/>
      <c r="X60" s="126"/>
      <c r="Y60" s="126"/>
      <c r="Z60" s="124"/>
      <c r="AA60" s="124"/>
      <c r="AB60" s="124"/>
      <c r="AC60" s="124"/>
      <c r="AD60" s="124"/>
      <c r="AE60" s="127"/>
    </row>
    <row r="61" spans="1:40" outlineLevel="2" x14ac:dyDescent="0.3">
      <c r="A61" s="198" t="s">
        <v>94</v>
      </c>
      <c r="B61" s="202">
        <v>66.309997999999993</v>
      </c>
      <c r="C61" s="202">
        <v>65.123001000000002</v>
      </c>
      <c r="D61" s="202">
        <v>79.468001999999998</v>
      </c>
      <c r="E61" s="202">
        <v>87.223999000000006</v>
      </c>
      <c r="F61" s="202">
        <v>124.667</v>
      </c>
      <c r="G61" s="202">
        <v>165.628998</v>
      </c>
      <c r="H61" s="202">
        <v>109.328003</v>
      </c>
      <c r="I61" s="202">
        <v>107.514</v>
      </c>
      <c r="J61" s="202">
        <v>160.03599500000001</v>
      </c>
      <c r="K61" s="202">
        <v>227.52499399999999</v>
      </c>
      <c r="L61" s="202">
        <v>371.46301299999999</v>
      </c>
      <c r="M61" s="211">
        <f>M66*M67</f>
        <v>295.91603712</v>
      </c>
      <c r="N61" s="211">
        <f>N66*N67</f>
        <v>355.58903660544013</v>
      </c>
      <c r="O61" s="211">
        <f>O66*O67</f>
        <v>391.14794026598406</v>
      </c>
      <c r="P61" s="211">
        <f t="shared" ref="P61:Q61" si="28">P23*P64</f>
        <v>360.97148784312009</v>
      </c>
      <c r="Q61" s="211">
        <f t="shared" si="28"/>
        <v>397.06863662743211</v>
      </c>
      <c r="R61" s="124"/>
      <c r="T61" s="124"/>
      <c r="U61" s="124"/>
      <c r="V61" s="124"/>
      <c r="W61" s="125"/>
      <c r="X61" s="126"/>
      <c r="Y61" s="126"/>
      <c r="Z61" s="124"/>
      <c r="AA61" s="124"/>
      <c r="AB61" s="124"/>
      <c r="AC61" s="124"/>
      <c r="AD61" s="124"/>
      <c r="AE61" s="124"/>
      <c r="AF61" s="124"/>
      <c r="AG61" s="124"/>
      <c r="AH61" s="124"/>
      <c r="AI61" s="124"/>
      <c r="AJ61" s="124"/>
      <c r="AK61" s="124"/>
      <c r="AL61" s="124"/>
      <c r="AM61" s="124"/>
      <c r="AN61" s="124"/>
    </row>
    <row r="62" spans="1:40" outlineLevel="2" x14ac:dyDescent="0.3">
      <c r="A62" s="200" t="s">
        <v>95</v>
      </c>
      <c r="B62" s="201">
        <f>B61/B45</f>
        <v>0.40664764357771438</v>
      </c>
      <c r="C62" s="201">
        <f>C61/C45</f>
        <v>0.27012128766259624</v>
      </c>
      <c r="D62" s="201">
        <f t="shared" ref="D62:K62" si="29">D61/D45</f>
        <v>0.29851060984542571</v>
      </c>
      <c r="E62" s="201">
        <f t="shared" si="29"/>
        <v>0.30011732666283597</v>
      </c>
      <c r="F62" s="201">
        <f t="shared" si="29"/>
        <v>0.47443391559158204</v>
      </c>
      <c r="G62" s="201">
        <f t="shared" si="29"/>
        <v>0.67363638138388515</v>
      </c>
      <c r="H62" s="201">
        <f t="shared" si="29"/>
        <v>0.47252045623498085</v>
      </c>
      <c r="I62" s="201">
        <f t="shared" si="29"/>
        <v>0.44287638561065729</v>
      </c>
      <c r="J62" s="201">
        <f t="shared" si="29"/>
        <v>0.58390462238989493</v>
      </c>
      <c r="K62" s="201">
        <f t="shared" si="29"/>
        <v>0.56161677013267508</v>
      </c>
      <c r="L62" s="201">
        <f>L61/L45</f>
        <v>0.7435759113465169</v>
      </c>
      <c r="M62" s="142">
        <f t="shared" ref="M62:Q62" si="30">M61/M45</f>
        <v>0.53826465995402306</v>
      </c>
      <c r="N62" s="142">
        <f t="shared" si="30"/>
        <v>0.59580273249173821</v>
      </c>
      <c r="O62" s="142">
        <f t="shared" si="30"/>
        <v>0.60068918432308693</v>
      </c>
      <c r="P62" s="142">
        <f t="shared" si="30"/>
        <v>0.5127580995532337</v>
      </c>
      <c r="Q62" s="142">
        <f t="shared" si="30"/>
        <v>0.51393660205737479</v>
      </c>
      <c r="R62" s="124"/>
      <c r="T62" s="124"/>
      <c r="U62" s="124"/>
      <c r="V62" s="124"/>
      <c r="W62" s="125"/>
      <c r="X62" s="126"/>
      <c r="Y62" s="126"/>
      <c r="Z62" s="124"/>
      <c r="AA62" s="124"/>
      <c r="AB62" s="124"/>
      <c r="AC62" s="124"/>
      <c r="AD62" s="124"/>
      <c r="AE62" s="124"/>
      <c r="AF62" s="124"/>
      <c r="AG62" s="124"/>
      <c r="AH62" s="124"/>
      <c r="AI62" s="124"/>
      <c r="AJ62" s="124"/>
      <c r="AK62" s="124"/>
      <c r="AL62" s="124"/>
      <c r="AM62" s="124"/>
      <c r="AN62" s="124"/>
    </row>
    <row r="63" spans="1:40" outlineLevel="2" x14ac:dyDescent="0.3">
      <c r="A63" s="313" t="s">
        <v>96</v>
      </c>
      <c r="B63" s="201"/>
      <c r="C63" s="201">
        <f>C61/B61-1</f>
        <v>-1.7900724412629132E-2</v>
      </c>
      <c r="D63" s="201">
        <f t="shared" ref="D63:L63" si="31">D61/C61-1</f>
        <v>0.22027549068262364</v>
      </c>
      <c r="E63" s="201">
        <f t="shared" si="31"/>
        <v>9.7598993365908493E-2</v>
      </c>
      <c r="F63" s="201">
        <f t="shared" si="31"/>
        <v>0.42927406939917989</v>
      </c>
      <c r="G63" s="201">
        <f t="shared" si="31"/>
        <v>0.32857129793770601</v>
      </c>
      <c r="H63" s="201">
        <f t="shared" si="31"/>
        <v>-0.33992233050881582</v>
      </c>
      <c r="I63" s="201">
        <f t="shared" si="31"/>
        <v>-1.659229977885901E-2</v>
      </c>
      <c r="J63" s="201">
        <f t="shared" si="31"/>
        <v>0.48851307736666882</v>
      </c>
      <c r="K63" s="201">
        <f t="shared" si="31"/>
        <v>0.42171137186980956</v>
      </c>
      <c r="L63" s="201">
        <f t="shared" si="31"/>
        <v>0.63262508645533688</v>
      </c>
      <c r="M63" s="142">
        <f>M61/L61-1</f>
        <v>-0.20337684570495851</v>
      </c>
      <c r="N63" s="142">
        <f t="shared" ref="N63:Q63" si="32">N61/M61-1</f>
        <v>0.2016551724137936</v>
      </c>
      <c r="O63" s="142">
        <f t="shared" si="32"/>
        <v>9.9999999999999867E-2</v>
      </c>
      <c r="P63" s="142">
        <f t="shared" si="32"/>
        <v>-7.7148437499999889E-2</v>
      </c>
      <c r="Q63" s="142">
        <f t="shared" si="32"/>
        <v>0.10000000000000009</v>
      </c>
      <c r="R63" s="124"/>
      <c r="T63" s="124"/>
      <c r="U63" s="124"/>
      <c r="V63" s="124"/>
      <c r="W63" s="125"/>
      <c r="X63" s="126"/>
      <c r="Y63" s="126"/>
      <c r="Z63" s="124"/>
      <c r="AA63" s="124"/>
      <c r="AB63" s="124"/>
      <c r="AC63" s="124"/>
      <c r="AD63" s="124"/>
      <c r="AE63" s="124"/>
      <c r="AF63" s="124"/>
      <c r="AG63" s="124"/>
      <c r="AH63" s="124"/>
      <c r="AI63" s="124"/>
      <c r="AJ63" s="124"/>
      <c r="AK63" s="124"/>
      <c r="AL63" s="124"/>
      <c r="AM63" s="124"/>
      <c r="AN63" s="124"/>
    </row>
    <row r="64" spans="1:40" outlineLevel="2" x14ac:dyDescent="0.3">
      <c r="A64" s="200" t="s">
        <v>570</v>
      </c>
      <c r="B64" s="201">
        <f>B61/B23</f>
        <v>0.42074871827411164</v>
      </c>
      <c r="C64" s="201">
        <f t="shared" ref="C64:L64" si="33">C61/C23</f>
        <v>0.27806576003415884</v>
      </c>
      <c r="D64" s="201">
        <f t="shared" si="33"/>
        <v>0.31522412534708449</v>
      </c>
      <c r="E64" s="201">
        <f t="shared" si="33"/>
        <v>0.3087575185840708</v>
      </c>
      <c r="F64" s="201">
        <f t="shared" si="33"/>
        <v>0.51176929392446635</v>
      </c>
      <c r="G64" s="201">
        <f t="shared" si="33"/>
        <v>0.73743988423864648</v>
      </c>
      <c r="H64" s="201">
        <f t="shared" si="33"/>
        <v>0.51231491565135889</v>
      </c>
      <c r="I64" s="201">
        <f t="shared" si="33"/>
        <v>0.49705963938973641</v>
      </c>
      <c r="J64" s="201">
        <f t="shared" si="33"/>
        <v>0.60966093333333338</v>
      </c>
      <c r="K64" s="201">
        <f t="shared" si="33"/>
        <v>0.60303470447919427</v>
      </c>
      <c r="L64" s="201">
        <f t="shared" si="33"/>
        <v>0.8012575776531492</v>
      </c>
      <c r="M64" s="273">
        <v>0.57999999999999996</v>
      </c>
      <c r="N64" s="273">
        <v>0.64</v>
      </c>
      <c r="O64" s="273">
        <v>0.64</v>
      </c>
      <c r="P64" s="273">
        <v>0.54</v>
      </c>
      <c r="Q64" s="273">
        <v>0.54</v>
      </c>
      <c r="R64" s="124"/>
      <c r="S64" s="124"/>
      <c r="T64" s="124"/>
      <c r="U64" s="124"/>
      <c r="V64" s="124"/>
      <c r="W64" s="125"/>
      <c r="X64" s="126"/>
      <c r="Y64" s="126"/>
      <c r="Z64" s="124"/>
      <c r="AA64" s="124"/>
      <c r="AB64" s="124"/>
      <c r="AC64" s="197"/>
      <c r="AD64" s="197"/>
      <c r="AE64" s="197"/>
      <c r="AF64" s="197"/>
      <c r="AG64" s="197"/>
      <c r="AH64" s="197"/>
      <c r="AI64" s="197"/>
      <c r="AJ64" s="197"/>
      <c r="AK64" s="197"/>
      <c r="AL64" s="197"/>
      <c r="AM64" s="197"/>
      <c r="AN64" s="197"/>
    </row>
    <row r="65" spans="1:40" outlineLevel="2" x14ac:dyDescent="0.3">
      <c r="A65" s="313" t="s">
        <v>97</v>
      </c>
      <c r="B65" s="201"/>
      <c r="C65" s="201">
        <f>C64/B64-1</f>
        <v>-0.33911679832378461</v>
      </c>
      <c r="D65" s="201">
        <f t="shared" ref="D65:L65" si="34">D64/C64-1</f>
        <v>0.13363157444613449</v>
      </c>
      <c r="E65" s="201">
        <f t="shared" si="34"/>
        <v>-2.0514314238776921E-2</v>
      </c>
      <c r="F65" s="201">
        <f t="shared" si="34"/>
        <v>0.65751200576875335</v>
      </c>
      <c r="G65" s="201">
        <f t="shared" si="34"/>
        <v>0.44096156802148356</v>
      </c>
      <c r="H65" s="201">
        <f t="shared" si="34"/>
        <v>-0.30527907887666383</v>
      </c>
      <c r="I65" s="201">
        <f t="shared" si="34"/>
        <v>-2.9777146429997847E-2</v>
      </c>
      <c r="J65" s="201">
        <f t="shared" si="34"/>
        <v>0.22653477575013503</v>
      </c>
      <c r="K65" s="201">
        <f t="shared" si="34"/>
        <v>-1.0868711593360669E-2</v>
      </c>
      <c r="L65" s="201">
        <f t="shared" si="34"/>
        <v>0.32870889801466463</v>
      </c>
      <c r="M65" s="142">
        <f>M64/L64-1</f>
        <v>-0.27613789101527586</v>
      </c>
      <c r="N65" s="142">
        <f t="shared" ref="N65:Q65" si="35">N64/M64-1</f>
        <v>0.10344827586206917</v>
      </c>
      <c r="O65" s="142">
        <f t="shared" si="35"/>
        <v>0</v>
      </c>
      <c r="P65" s="142">
        <f t="shared" si="35"/>
        <v>-0.15625</v>
      </c>
      <c r="Q65" s="142">
        <f t="shared" si="35"/>
        <v>0</v>
      </c>
      <c r="R65" s="124"/>
      <c r="S65" s="124"/>
      <c r="T65" s="124"/>
      <c r="U65" s="124"/>
      <c r="V65" s="124"/>
      <c r="W65" s="125"/>
      <c r="X65" s="126"/>
      <c r="Y65" s="126"/>
      <c r="Z65" s="124"/>
      <c r="AA65" s="124"/>
      <c r="AB65" s="124"/>
      <c r="AC65" s="197"/>
      <c r="AD65" s="197"/>
      <c r="AE65" s="197"/>
      <c r="AF65" s="197"/>
      <c r="AG65" s="197"/>
      <c r="AH65" s="197"/>
      <c r="AI65" s="197"/>
      <c r="AJ65" s="197"/>
      <c r="AK65" s="197"/>
      <c r="AL65" s="197"/>
      <c r="AM65" s="197"/>
      <c r="AN65" s="197"/>
    </row>
    <row r="66" spans="1:40" outlineLevel="2" x14ac:dyDescent="0.3">
      <c r="A66" s="313" t="s">
        <v>567</v>
      </c>
      <c r="B66" s="202">
        <f t="shared" ref="B66:O66" si="36">B23*B64</f>
        <v>66.309997999999993</v>
      </c>
      <c r="C66" s="202">
        <f t="shared" si="36"/>
        <v>65.123001000000002</v>
      </c>
      <c r="D66" s="202">
        <f t="shared" si="36"/>
        <v>79.468001999999998</v>
      </c>
      <c r="E66" s="202">
        <f t="shared" si="36"/>
        <v>87.223999000000006</v>
      </c>
      <c r="F66" s="202">
        <f t="shared" si="36"/>
        <v>124.667</v>
      </c>
      <c r="G66" s="202">
        <f t="shared" si="36"/>
        <v>165.628998</v>
      </c>
      <c r="H66" s="202">
        <f t="shared" si="36"/>
        <v>109.328003</v>
      </c>
      <c r="I66" s="202">
        <f t="shared" si="36"/>
        <v>107.514</v>
      </c>
      <c r="J66" s="202">
        <f t="shared" si="36"/>
        <v>160.03599500000001</v>
      </c>
      <c r="K66" s="202">
        <f t="shared" si="36"/>
        <v>227.52499399999999</v>
      </c>
      <c r="L66" s="202">
        <f t="shared" si="36"/>
        <v>371.46301299999999</v>
      </c>
      <c r="M66" s="211">
        <f t="shared" si="36"/>
        <v>295.91603712</v>
      </c>
      <c r="N66" s="211">
        <f t="shared" si="36"/>
        <v>359.18084505600012</v>
      </c>
      <c r="O66" s="211">
        <f t="shared" si="36"/>
        <v>395.09892956160007</v>
      </c>
      <c r="P66" s="142"/>
      <c r="Q66" s="142"/>
      <c r="R66" s="124"/>
      <c r="S66" s="124"/>
      <c r="T66" s="124"/>
      <c r="U66" s="124"/>
      <c r="V66" s="124"/>
      <c r="W66" s="125"/>
      <c r="X66" s="126"/>
      <c r="Y66" s="126"/>
      <c r="Z66" s="124"/>
      <c r="AA66" s="124"/>
      <c r="AB66" s="124"/>
      <c r="AC66" s="197"/>
      <c r="AD66" s="197"/>
      <c r="AE66" s="197"/>
      <c r="AF66" s="197"/>
      <c r="AG66" s="197"/>
      <c r="AH66" s="197"/>
      <c r="AI66" s="197"/>
      <c r="AJ66" s="197"/>
      <c r="AK66" s="197"/>
      <c r="AL66" s="197"/>
      <c r="AM66" s="197"/>
      <c r="AN66" s="197"/>
    </row>
    <row r="67" spans="1:40" outlineLevel="2" x14ac:dyDescent="0.3">
      <c r="A67" s="313" t="s">
        <v>568</v>
      </c>
      <c r="B67" s="314">
        <v>1</v>
      </c>
      <c r="C67" s="314">
        <v>1</v>
      </c>
      <c r="D67" s="314">
        <v>1</v>
      </c>
      <c r="E67" s="314">
        <v>1</v>
      </c>
      <c r="F67" s="314">
        <v>1</v>
      </c>
      <c r="G67" s="314">
        <v>1</v>
      </c>
      <c r="H67" s="314">
        <v>1</v>
      </c>
      <c r="I67" s="314">
        <v>1</v>
      </c>
      <c r="J67" s="314">
        <v>1</v>
      </c>
      <c r="K67" s="314">
        <v>1</v>
      </c>
      <c r="L67" s="314">
        <v>1</v>
      </c>
      <c r="M67" s="312">
        <v>1</v>
      </c>
      <c r="N67" s="312">
        <v>0.99</v>
      </c>
      <c r="O67" s="312">
        <v>0.99</v>
      </c>
      <c r="P67" s="142"/>
      <c r="Q67" s="142"/>
      <c r="R67" s="124"/>
      <c r="S67" s="124"/>
      <c r="T67" s="124"/>
      <c r="U67" s="124"/>
      <c r="V67" s="124"/>
      <c r="W67" s="125"/>
      <c r="X67" s="126"/>
      <c r="Y67" s="126"/>
      <c r="Z67" s="124"/>
      <c r="AA67" s="124"/>
      <c r="AB67" s="124"/>
      <c r="AC67" s="197"/>
      <c r="AD67" s="197"/>
      <c r="AE67" s="197"/>
      <c r="AF67" s="197"/>
      <c r="AG67" s="197"/>
      <c r="AH67" s="197"/>
      <c r="AI67" s="197"/>
      <c r="AJ67" s="197"/>
      <c r="AK67" s="197"/>
      <c r="AL67" s="197"/>
      <c r="AM67" s="197"/>
      <c r="AN67" s="197"/>
    </row>
    <row r="68" spans="1:40" outlineLevel="2" x14ac:dyDescent="0.3">
      <c r="A68" s="200" t="s">
        <v>98</v>
      </c>
      <c r="B68" s="202">
        <f t="shared" ref="B68:Q68" si="37">(B61/B11)*1000000</f>
        <v>602.81816363636358</v>
      </c>
      <c r="C68" s="202">
        <f t="shared" si="37"/>
        <v>407.01875625000002</v>
      </c>
      <c r="D68" s="202">
        <f t="shared" si="37"/>
        <v>454.10286857142853</v>
      </c>
      <c r="E68" s="202">
        <f t="shared" si="37"/>
        <v>545.14999375000002</v>
      </c>
      <c r="F68" s="202">
        <f t="shared" si="37"/>
        <v>831.11333333333334</v>
      </c>
      <c r="G68" s="202">
        <f t="shared" si="37"/>
        <v>1191.575525179856</v>
      </c>
      <c r="H68" s="202">
        <f t="shared" si="37"/>
        <v>860.85041732283457</v>
      </c>
      <c r="I68" s="202">
        <f t="shared" si="37"/>
        <v>820.71755725190837</v>
      </c>
      <c r="J68" s="202">
        <f t="shared" si="37"/>
        <v>1039.1947727272727</v>
      </c>
      <c r="K68" s="202">
        <f t="shared" si="37"/>
        <v>1259.1311234089651</v>
      </c>
      <c r="L68" s="202">
        <f t="shared" si="37"/>
        <v>1765.508616920152</v>
      </c>
      <c r="M68" s="211">
        <f t="shared" si="37"/>
        <v>1326.8349465528374</v>
      </c>
      <c r="N68" s="211">
        <f t="shared" si="37"/>
        <v>1518.4743585377107</v>
      </c>
      <c r="O68" s="211">
        <f t="shared" si="37"/>
        <v>1590.7826613252203</v>
      </c>
      <c r="P68" s="211">
        <f t="shared" si="37"/>
        <v>1398.1488234303695</v>
      </c>
      <c r="Q68" s="211">
        <f t="shared" si="37"/>
        <v>1464.7273388318158</v>
      </c>
      <c r="R68" s="124"/>
      <c r="S68" s="124"/>
      <c r="T68" s="124"/>
      <c r="U68" s="124"/>
      <c r="V68" s="124"/>
      <c r="W68" s="125"/>
      <c r="X68" s="126"/>
      <c r="Y68" s="126"/>
      <c r="Z68" s="124"/>
      <c r="AA68" s="124"/>
      <c r="AB68" s="124"/>
      <c r="AC68" s="197"/>
      <c r="AD68" s="197"/>
      <c r="AE68" s="197"/>
      <c r="AF68" s="197"/>
      <c r="AG68" s="197"/>
      <c r="AH68" s="197"/>
      <c r="AI68" s="197"/>
      <c r="AJ68" s="197"/>
      <c r="AK68" s="197"/>
      <c r="AL68" s="197"/>
      <c r="AM68" s="197"/>
      <c r="AN68" s="197"/>
    </row>
    <row r="69" spans="1:40" outlineLevel="2" x14ac:dyDescent="0.3">
      <c r="A69" s="313" t="s">
        <v>97</v>
      </c>
      <c r="B69" s="201"/>
      <c r="C69" s="201">
        <f>C68/B68-1</f>
        <v>-0.32480674803368259</v>
      </c>
      <c r="D69" s="201">
        <f t="shared" ref="D69:Q69" si="38">D68/C68-1</f>
        <v>0.11568044862411297</v>
      </c>
      <c r="E69" s="201">
        <f t="shared" si="38"/>
        <v>0.20049889899396245</v>
      </c>
      <c r="F69" s="201">
        <f t="shared" si="38"/>
        <v>0.52455900735912531</v>
      </c>
      <c r="G69" s="201">
        <f t="shared" si="38"/>
        <v>0.43371003374572581</v>
      </c>
      <c r="H69" s="201">
        <f t="shared" si="38"/>
        <v>-0.27755278693484564</v>
      </c>
      <c r="I69" s="201">
        <f t="shared" si="38"/>
        <v>-4.6620015816145721E-2</v>
      </c>
      <c r="J69" s="201">
        <f t="shared" si="38"/>
        <v>0.26620268269502323</v>
      </c>
      <c r="K69" s="201">
        <f t="shared" si="38"/>
        <v>0.2116411248918133</v>
      </c>
      <c r="L69" s="201">
        <f t="shared" si="38"/>
        <v>0.40216422586729728</v>
      </c>
      <c r="M69" s="142">
        <f t="shared" si="38"/>
        <v>-0.2484687223631683</v>
      </c>
      <c r="N69" s="142">
        <f t="shared" si="38"/>
        <v>0.14443349753694612</v>
      </c>
      <c r="O69" s="142">
        <f t="shared" si="38"/>
        <v>4.7619047619047228E-2</v>
      </c>
      <c r="P69" s="142">
        <f t="shared" si="38"/>
        <v>-0.12109374999999989</v>
      </c>
      <c r="Q69" s="142">
        <f t="shared" si="38"/>
        <v>4.7619047619047672E-2</v>
      </c>
      <c r="R69" s="124"/>
      <c r="S69" s="124"/>
      <c r="T69" s="124"/>
      <c r="U69" s="124"/>
      <c r="V69" s="124"/>
      <c r="W69" s="125"/>
      <c r="X69" s="126"/>
      <c r="Y69" s="126"/>
      <c r="Z69" s="124"/>
      <c r="AA69" s="124"/>
      <c r="AB69" s="124"/>
      <c r="AC69" s="197"/>
      <c r="AD69" s="197"/>
      <c r="AE69" s="197"/>
      <c r="AF69" s="197"/>
      <c r="AG69" s="197"/>
      <c r="AH69" s="197"/>
      <c r="AI69" s="197"/>
      <c r="AJ69" s="197"/>
      <c r="AK69" s="197"/>
      <c r="AL69" s="197"/>
      <c r="AM69" s="197"/>
      <c r="AN69" s="197"/>
    </row>
    <row r="70" spans="1:40" outlineLevel="2" x14ac:dyDescent="0.3">
      <c r="A70" s="200"/>
      <c r="B70" s="201"/>
      <c r="C70" s="201"/>
      <c r="D70" s="201"/>
      <c r="E70" s="201"/>
      <c r="F70" s="201"/>
      <c r="G70" s="201"/>
      <c r="H70" s="201"/>
      <c r="I70" s="201"/>
      <c r="J70" s="201"/>
      <c r="K70" s="201"/>
      <c r="L70" s="201"/>
      <c r="M70" s="54"/>
      <c r="N70" s="54"/>
      <c r="O70" s="54"/>
      <c r="P70" s="54"/>
      <c r="Q70" s="54"/>
      <c r="R70" s="124"/>
      <c r="S70" s="124"/>
      <c r="T70" s="124"/>
      <c r="U70" s="124"/>
      <c r="V70" s="124"/>
      <c r="W70" s="125"/>
      <c r="X70" s="126"/>
      <c r="Y70" s="126"/>
      <c r="Z70" s="124"/>
      <c r="AA70" s="124"/>
      <c r="AB70" s="124"/>
      <c r="AC70" s="197"/>
      <c r="AD70" s="197"/>
      <c r="AE70" s="197"/>
      <c r="AF70" s="197"/>
      <c r="AG70" s="197"/>
      <c r="AH70" s="197"/>
      <c r="AI70" s="197"/>
      <c r="AJ70" s="197"/>
      <c r="AK70" s="197"/>
      <c r="AL70" s="197"/>
      <c r="AM70" s="197"/>
      <c r="AN70" s="197"/>
    </row>
    <row r="71" spans="1:40" ht="15.75" customHeight="1" outlineLevel="2" x14ac:dyDescent="0.3">
      <c r="A71" s="198" t="s">
        <v>99</v>
      </c>
      <c r="B71" s="202">
        <v>25.93</v>
      </c>
      <c r="C71" s="202">
        <v>31.618998999999999</v>
      </c>
      <c r="D71" s="202">
        <v>37.951999999999998</v>
      </c>
      <c r="E71" s="202">
        <v>41.984000999999999</v>
      </c>
      <c r="F71" s="202">
        <v>42.641998000000001</v>
      </c>
      <c r="G71" s="202">
        <v>39.662998000000002</v>
      </c>
      <c r="H71" s="202">
        <v>38.943001000000002</v>
      </c>
      <c r="I71" s="202">
        <v>42.497002000000002</v>
      </c>
      <c r="J71" s="202">
        <v>53.859000999999999</v>
      </c>
      <c r="K71" s="202">
        <v>93.732001999999994</v>
      </c>
      <c r="L71" s="202">
        <v>104.976997</v>
      </c>
      <c r="M71" s="211">
        <f>M23*M74</f>
        <v>108.06088201344529</v>
      </c>
      <c r="N71" s="211">
        <f>N23*N74</f>
        <v>112.24401408000004</v>
      </c>
      <c r="O71" s="211">
        <f>O23*O74</f>
        <v>122.85107341056003</v>
      </c>
      <c r="P71" s="211">
        <f>P23*P74</f>
        <v>133.69314364560003</v>
      </c>
      <c r="Q71" s="211">
        <f>Q23*Q74</f>
        <v>147.06245801016004</v>
      </c>
      <c r="R71" s="124"/>
      <c r="T71" s="124"/>
      <c r="U71" s="124"/>
      <c r="V71" s="124"/>
      <c r="W71" s="125"/>
      <c r="X71" s="126"/>
      <c r="Y71" s="126"/>
      <c r="Z71" s="124"/>
      <c r="AA71" s="124"/>
      <c r="AB71" s="124"/>
      <c r="AC71" s="124"/>
      <c r="AD71" s="124"/>
      <c r="AE71" s="124"/>
      <c r="AF71" s="124"/>
      <c r="AG71" s="124"/>
      <c r="AH71" s="124"/>
      <c r="AI71" s="124"/>
      <c r="AJ71" s="124"/>
      <c r="AK71" s="124"/>
      <c r="AL71" s="124"/>
      <c r="AM71" s="124"/>
      <c r="AN71" s="124"/>
    </row>
    <row r="72" spans="1:40" ht="15.75" customHeight="1" outlineLevel="2" x14ac:dyDescent="0.3">
      <c r="A72" s="200" t="str">
        <f>A71&amp;" as a % of Revenue"</f>
        <v>Policy Acquisition and Underwriting Expenses as a % of Revenue</v>
      </c>
      <c r="B72" s="201">
        <f t="shared" ref="B72:Q72" si="39">B71/B45</f>
        <v>0.15901634317603411</v>
      </c>
      <c r="C72" s="201">
        <f t="shared" si="39"/>
        <v>0.13115127671223786</v>
      </c>
      <c r="D72" s="201">
        <f t="shared" si="39"/>
        <v>0.14256146347876716</v>
      </c>
      <c r="E72" s="201">
        <f t="shared" si="39"/>
        <v>0.14445710225610994</v>
      </c>
      <c r="F72" s="201">
        <f t="shared" si="39"/>
        <v>0.16227879133843287</v>
      </c>
      <c r="G72" s="201">
        <f t="shared" si="39"/>
        <v>0.16131497968463396</v>
      </c>
      <c r="H72" s="201">
        <f t="shared" si="39"/>
        <v>0.168313369811386</v>
      </c>
      <c r="I72" s="201">
        <f t="shared" si="39"/>
        <v>0.1750555150496575</v>
      </c>
      <c r="J72" s="201">
        <f t="shared" si="39"/>
        <v>0.19650903936456277</v>
      </c>
      <c r="K72" s="201">
        <f t="shared" si="39"/>
        <v>0.23136563282937364</v>
      </c>
      <c r="L72" s="201">
        <f t="shared" si="39"/>
        <v>0.21013765430986683</v>
      </c>
      <c r="M72" s="142">
        <f t="shared" si="39"/>
        <v>0.19656033000912249</v>
      </c>
      <c r="N72" s="142">
        <f t="shared" si="39"/>
        <v>0.18806904434713959</v>
      </c>
      <c r="O72" s="142">
        <f t="shared" si="39"/>
        <v>0.18866342752571705</v>
      </c>
      <c r="P72" s="142">
        <f t="shared" si="39"/>
        <v>0.18991040724193839</v>
      </c>
      <c r="Q72" s="142">
        <f t="shared" si="39"/>
        <v>0.19034688965087954</v>
      </c>
      <c r="R72" s="124"/>
      <c r="T72" s="124"/>
      <c r="U72" s="124"/>
      <c r="V72" s="124"/>
      <c r="W72" s="125"/>
      <c r="X72" s="126"/>
      <c r="Y72" s="126"/>
      <c r="Z72" s="124"/>
      <c r="AA72" s="124"/>
      <c r="AB72" s="124"/>
      <c r="AC72" s="124"/>
      <c r="AD72" s="124"/>
      <c r="AE72" s="124"/>
      <c r="AF72" s="124"/>
      <c r="AG72" s="124"/>
      <c r="AH72" s="124"/>
      <c r="AI72" s="124"/>
      <c r="AJ72" s="124"/>
      <c r="AK72" s="124"/>
      <c r="AL72" s="124"/>
      <c r="AM72" s="124"/>
      <c r="AN72" s="124"/>
    </row>
    <row r="73" spans="1:40" ht="15.75" customHeight="1" outlineLevel="2" x14ac:dyDescent="0.3">
      <c r="A73" s="200" t="s">
        <v>100</v>
      </c>
      <c r="B73" s="201"/>
      <c r="C73" s="201">
        <f>C71/B71-1</f>
        <v>0.21939834168916317</v>
      </c>
      <c r="D73" s="201">
        <f t="shared" ref="D73:L73" si="40">D71/C71-1</f>
        <v>0.20029100225468865</v>
      </c>
      <c r="E73" s="201">
        <f t="shared" si="40"/>
        <v>0.10623948672006756</v>
      </c>
      <c r="F73" s="201">
        <f t="shared" si="40"/>
        <v>1.5672565366030788E-2</v>
      </c>
      <c r="G73" s="201">
        <f t="shared" si="40"/>
        <v>-6.9860703994217177E-2</v>
      </c>
      <c r="H73" s="201">
        <f t="shared" si="40"/>
        <v>-1.8152863785032114E-2</v>
      </c>
      <c r="I73" s="201">
        <f t="shared" si="40"/>
        <v>9.126161078341144E-2</v>
      </c>
      <c r="J73" s="201">
        <f t="shared" si="40"/>
        <v>0.26736001283102273</v>
      </c>
      <c r="K73" s="201">
        <f t="shared" si="40"/>
        <v>0.74032195658437838</v>
      </c>
      <c r="L73" s="201">
        <f t="shared" si="40"/>
        <v>0.11996964494581053</v>
      </c>
      <c r="M73" s="142">
        <f>M71/L71-1</f>
        <v>2.9376769212071219E-2</v>
      </c>
      <c r="N73" s="142">
        <f t="shared" ref="N73:Q73" si="41">N71/M71-1</f>
        <v>3.8710882130633228E-2</v>
      </c>
      <c r="O73" s="142">
        <f t="shared" si="41"/>
        <v>9.4499999999999806E-2</v>
      </c>
      <c r="P73" s="142">
        <f t="shared" si="41"/>
        <v>8.8253768844221092E-2</v>
      </c>
      <c r="Q73" s="142">
        <f t="shared" si="41"/>
        <v>0.10000000000000009</v>
      </c>
      <c r="R73" s="124"/>
      <c r="T73" s="124"/>
      <c r="U73" s="124"/>
      <c r="V73" s="124"/>
      <c r="W73" s="125"/>
      <c r="X73" s="126"/>
      <c r="Y73" s="126"/>
      <c r="Z73" s="124"/>
      <c r="AA73" s="124"/>
      <c r="AB73" s="124"/>
      <c r="AC73" s="124"/>
      <c r="AD73" s="124"/>
      <c r="AE73" s="124"/>
      <c r="AF73" s="124"/>
      <c r="AG73" s="124"/>
      <c r="AH73" s="124"/>
      <c r="AI73" s="124"/>
      <c r="AJ73" s="124"/>
      <c r="AK73" s="124"/>
      <c r="AL73" s="124"/>
      <c r="AM73" s="124"/>
      <c r="AN73" s="124"/>
    </row>
    <row r="74" spans="1:40" ht="15.75" customHeight="1" outlineLevel="2" x14ac:dyDescent="0.3">
      <c r="A74" s="200" t="s">
        <v>101</v>
      </c>
      <c r="B74" s="201">
        <f t="shared" ref="B74:L74" si="42">B71/B23</f>
        <v>0.16453045685279188</v>
      </c>
      <c r="C74" s="201">
        <f t="shared" si="42"/>
        <v>0.13500853543979505</v>
      </c>
      <c r="D74" s="201">
        <f t="shared" si="42"/>
        <v>0.1505434351447838</v>
      </c>
      <c r="E74" s="201">
        <f t="shared" si="42"/>
        <v>0.14861593274336282</v>
      </c>
      <c r="F74" s="201">
        <f t="shared" si="42"/>
        <v>0.17504925287356324</v>
      </c>
      <c r="G74" s="201">
        <f t="shared" si="42"/>
        <v>0.1765939358860196</v>
      </c>
      <c r="H74" s="201">
        <f t="shared" si="42"/>
        <v>0.18248828959700095</v>
      </c>
      <c r="I74" s="201">
        <f t="shared" si="42"/>
        <v>0.19647250115580212</v>
      </c>
      <c r="J74" s="201">
        <f t="shared" si="42"/>
        <v>0.20517714666666667</v>
      </c>
      <c r="K74" s="201">
        <f t="shared" si="42"/>
        <v>0.24842831168831167</v>
      </c>
      <c r="L74" s="201">
        <f t="shared" si="42"/>
        <v>0.22643873382226054</v>
      </c>
      <c r="M74" s="273">
        <f>AVERAGE(H74:L74)</f>
        <v>0.21180099658600843</v>
      </c>
      <c r="N74" s="273">
        <v>0.2</v>
      </c>
      <c r="O74" s="273">
        <v>0.19900000000000001</v>
      </c>
      <c r="P74" s="273">
        <v>0.2</v>
      </c>
      <c r="Q74" s="273">
        <v>0.2</v>
      </c>
      <c r="R74" s="124"/>
      <c r="T74" s="124"/>
      <c r="U74" s="124"/>
      <c r="V74" s="124"/>
      <c r="W74" s="125"/>
      <c r="X74" s="126"/>
      <c r="Y74" s="126"/>
      <c r="Z74" s="124"/>
      <c r="AA74" s="124"/>
      <c r="AB74" s="124"/>
      <c r="AC74" s="124"/>
      <c r="AD74" s="124"/>
      <c r="AE74" s="124"/>
      <c r="AF74" s="124"/>
      <c r="AG74" s="124"/>
      <c r="AH74" s="124"/>
      <c r="AI74" s="124"/>
      <c r="AJ74" s="124"/>
      <c r="AK74" s="124"/>
      <c r="AL74" s="124"/>
      <c r="AM74" s="124"/>
      <c r="AN74" s="124"/>
    </row>
    <row r="75" spans="1:40" ht="15.75" customHeight="1" outlineLevel="2" x14ac:dyDescent="0.3">
      <c r="A75" s="200" t="s">
        <v>97</v>
      </c>
      <c r="B75" s="201"/>
      <c r="C75" s="201">
        <f>C74/B74-1</f>
        <v>-0.17943134649781345</v>
      </c>
      <c r="D75" s="201">
        <f t="shared" ref="D75:Q75" si="43">D74/C74-1</f>
        <v>0.11506605604144404</v>
      </c>
      <c r="E75" s="201">
        <f t="shared" si="43"/>
        <v>-1.2803629726976906E-2</v>
      </c>
      <c r="F75" s="201">
        <f t="shared" si="43"/>
        <v>0.17786329932637002</v>
      </c>
      <c r="G75" s="201">
        <f t="shared" si="43"/>
        <v>8.8242765227457554E-3</v>
      </c>
      <c r="H75" s="201">
        <f t="shared" si="43"/>
        <v>3.3378007468986892E-2</v>
      </c>
      <c r="I75" s="201">
        <f t="shared" si="43"/>
        <v>7.6630733893573666E-2</v>
      </c>
      <c r="J75" s="201">
        <f t="shared" si="43"/>
        <v>4.4304650572762894E-2</v>
      </c>
      <c r="K75" s="201">
        <f t="shared" si="43"/>
        <v>0.21079913491492008</v>
      </c>
      <c r="L75" s="201">
        <f t="shared" si="43"/>
        <v>-8.8514782057691366E-2</v>
      </c>
      <c r="M75" s="142">
        <f t="shared" si="43"/>
        <v>-6.4643256872040977E-2</v>
      </c>
      <c r="N75" s="142">
        <f t="shared" si="43"/>
        <v>-5.5717379881242701E-2</v>
      </c>
      <c r="O75" s="142">
        <f t="shared" si="43"/>
        <v>-5.0000000000000044E-3</v>
      </c>
      <c r="P75" s="142">
        <f t="shared" si="43"/>
        <v>5.0251256281406143E-3</v>
      </c>
      <c r="Q75" s="142">
        <f t="shared" si="43"/>
        <v>0</v>
      </c>
      <c r="R75" s="124"/>
      <c r="T75" s="124"/>
      <c r="U75" s="124"/>
      <c r="V75" s="124"/>
      <c r="W75" s="125"/>
      <c r="X75" s="126"/>
      <c r="Y75" s="126"/>
      <c r="Z75" s="124"/>
      <c r="AA75" s="124"/>
      <c r="AB75" s="124"/>
      <c r="AC75" s="124"/>
      <c r="AD75" s="124"/>
      <c r="AE75" s="124"/>
      <c r="AF75" s="124"/>
      <c r="AG75" s="124"/>
      <c r="AH75" s="124"/>
      <c r="AI75" s="124"/>
      <c r="AJ75" s="124"/>
      <c r="AK75" s="124"/>
      <c r="AL75" s="124"/>
      <c r="AM75" s="124"/>
      <c r="AN75" s="124"/>
    </row>
    <row r="76" spans="1:40" ht="15.75" customHeight="1" outlineLevel="2" x14ac:dyDescent="0.3">
      <c r="A76" s="200" t="s">
        <v>102</v>
      </c>
      <c r="B76" s="202">
        <f t="shared" ref="B76:Q76" si="44">(B71/B11)*1000000</f>
        <v>235.72727272727272</v>
      </c>
      <c r="C76" s="202">
        <f t="shared" si="44"/>
        <v>197.61874374999999</v>
      </c>
      <c r="D76" s="202">
        <f t="shared" si="44"/>
        <v>216.86857142857141</v>
      </c>
      <c r="E76" s="202">
        <f t="shared" si="44"/>
        <v>262.40000624999999</v>
      </c>
      <c r="F76" s="202">
        <f t="shared" si="44"/>
        <v>284.27998666666667</v>
      </c>
      <c r="G76" s="202">
        <f t="shared" si="44"/>
        <v>285.34530935251797</v>
      </c>
      <c r="H76" s="202">
        <f t="shared" si="44"/>
        <v>306.63780314960627</v>
      </c>
      <c r="I76" s="202">
        <f t="shared" si="44"/>
        <v>324.40459541984734</v>
      </c>
      <c r="J76" s="202">
        <f t="shared" si="44"/>
        <v>349.73377272727271</v>
      </c>
      <c r="K76" s="202">
        <f t="shared" si="44"/>
        <v>518.71611510791365</v>
      </c>
      <c r="L76" s="202">
        <f t="shared" si="44"/>
        <v>498.94009980988596</v>
      </c>
      <c r="M76" s="211">
        <f t="shared" si="44"/>
        <v>484.52579997419696</v>
      </c>
      <c r="N76" s="211">
        <f t="shared" si="44"/>
        <v>479.3164010535703</v>
      </c>
      <c r="O76" s="211">
        <f t="shared" si="44"/>
        <v>499.63028662203106</v>
      </c>
      <c r="P76" s="211">
        <f t="shared" si="44"/>
        <v>517.83289756680347</v>
      </c>
      <c r="Q76" s="211">
        <f t="shared" si="44"/>
        <v>542.49160697474656</v>
      </c>
      <c r="R76" s="124"/>
      <c r="T76" s="124"/>
      <c r="U76" s="124"/>
      <c r="V76" s="124"/>
      <c r="W76" s="125"/>
      <c r="X76" s="126"/>
      <c r="Y76" s="126"/>
      <c r="Z76" s="124"/>
      <c r="AA76" s="124"/>
      <c r="AB76" s="124"/>
      <c r="AC76" s="124"/>
      <c r="AD76" s="124"/>
      <c r="AE76" s="124"/>
      <c r="AF76" s="124"/>
      <c r="AG76" s="124"/>
      <c r="AH76" s="124"/>
      <c r="AI76" s="124"/>
      <c r="AJ76" s="124"/>
      <c r="AK76" s="124"/>
      <c r="AL76" s="124"/>
      <c r="AM76" s="124"/>
      <c r="AN76" s="124"/>
    </row>
    <row r="77" spans="1:40" ht="15.75" customHeight="1" outlineLevel="2" x14ac:dyDescent="0.3">
      <c r="A77" s="200" t="s">
        <v>97</v>
      </c>
      <c r="B77" s="201"/>
      <c r="C77" s="201">
        <f>C76/B76-1</f>
        <v>-0.16166364008870038</v>
      </c>
      <c r="D77" s="201">
        <f t="shared" ref="D77:Q77" si="45">D76/C76-1</f>
        <v>9.7408916347143881E-2</v>
      </c>
      <c r="E77" s="201">
        <f t="shared" si="45"/>
        <v>0.20994943860007376</v>
      </c>
      <c r="F77" s="201">
        <f t="shared" si="45"/>
        <v>8.3384069723766219E-2</v>
      </c>
      <c r="G77" s="201">
        <f t="shared" si="45"/>
        <v>3.7474417328591247E-3</v>
      </c>
      <c r="H77" s="201">
        <f t="shared" si="45"/>
        <v>7.4620093967563195E-2</v>
      </c>
      <c r="I77" s="201">
        <f t="shared" si="45"/>
        <v>5.7940645568650861E-2</v>
      </c>
      <c r="J77" s="201">
        <f t="shared" si="45"/>
        <v>7.8078971953662091E-2</v>
      </c>
      <c r="K77" s="201">
        <f t="shared" si="45"/>
        <v>0.48317421867180022</v>
      </c>
      <c r="L77" s="201">
        <f t="shared" si="45"/>
        <v>-3.8124929459562806E-2</v>
      </c>
      <c r="M77" s="142">
        <f t="shared" si="45"/>
        <v>-2.8889840365970532E-2</v>
      </c>
      <c r="N77" s="142">
        <f t="shared" si="45"/>
        <v>-1.0751540827968475E-2</v>
      </c>
      <c r="O77" s="142">
        <f t="shared" si="45"/>
        <v>4.2380952380952186E-2</v>
      </c>
      <c r="P77" s="142">
        <f t="shared" si="45"/>
        <v>3.6432160804019897E-2</v>
      </c>
      <c r="Q77" s="142">
        <f t="shared" si="45"/>
        <v>4.7619047619047672E-2</v>
      </c>
      <c r="R77" s="124"/>
      <c r="T77" s="124"/>
      <c r="U77" s="124"/>
      <c r="V77" s="124"/>
      <c r="W77" s="125"/>
      <c r="X77" s="126"/>
      <c r="Y77" s="126"/>
      <c r="Z77" s="124"/>
      <c r="AA77" s="124"/>
      <c r="AB77" s="124"/>
      <c r="AC77" s="124"/>
      <c r="AD77" s="124"/>
      <c r="AE77" s="124"/>
      <c r="AF77" s="124"/>
      <c r="AG77" s="124"/>
      <c r="AH77" s="124"/>
      <c r="AI77" s="124"/>
      <c r="AJ77" s="124"/>
      <c r="AK77" s="124"/>
      <c r="AL77" s="124"/>
      <c r="AM77" s="124"/>
      <c r="AN77" s="124"/>
    </row>
    <row r="78" spans="1:40" outlineLevel="2" x14ac:dyDescent="0.3">
      <c r="A78" s="198"/>
      <c r="B78" s="202"/>
      <c r="C78" s="202"/>
      <c r="D78" s="202"/>
      <c r="E78" s="202"/>
      <c r="F78" s="202"/>
      <c r="G78" s="202"/>
      <c r="H78" s="202"/>
      <c r="I78" s="202"/>
      <c r="J78" s="202"/>
      <c r="K78" s="202"/>
      <c r="L78" s="202"/>
      <c r="M78" s="211"/>
      <c r="N78" s="211"/>
      <c r="O78" s="211"/>
      <c r="P78" s="211"/>
      <c r="Q78" s="211"/>
      <c r="R78" s="124"/>
      <c r="T78" s="124"/>
      <c r="U78" s="124"/>
      <c r="V78" s="124"/>
      <c r="W78" s="125"/>
      <c r="X78" s="126"/>
      <c r="Y78" s="126"/>
      <c r="Z78" s="124"/>
      <c r="AA78" s="124"/>
      <c r="AB78" s="124"/>
      <c r="AC78" s="124"/>
      <c r="AD78" s="124"/>
      <c r="AE78" s="124"/>
      <c r="AF78" s="124"/>
      <c r="AG78" s="124"/>
      <c r="AH78" s="124"/>
      <c r="AI78" s="124"/>
      <c r="AJ78" s="124"/>
      <c r="AK78" s="124"/>
      <c r="AL78" s="124"/>
      <c r="AM78" s="124"/>
      <c r="AN78" s="124"/>
    </row>
    <row r="79" spans="1:40" outlineLevel="2" x14ac:dyDescent="0.3">
      <c r="A79" s="198" t="s">
        <v>103</v>
      </c>
      <c r="B79" s="202">
        <v>10.545</v>
      </c>
      <c r="C79" s="202">
        <v>14.714</v>
      </c>
      <c r="D79" s="202">
        <v>16.483000000000001</v>
      </c>
      <c r="E79" s="202">
        <v>28.275998999999999</v>
      </c>
      <c r="F79" s="202">
        <v>26.200001</v>
      </c>
      <c r="G79" s="202">
        <v>25.127001</v>
      </c>
      <c r="H79" s="202">
        <v>25.908000999999999</v>
      </c>
      <c r="I79" s="202">
        <v>31.111999999999998</v>
      </c>
      <c r="J79" s="202">
        <v>33.828999000000003</v>
      </c>
      <c r="K79" s="202">
        <v>45.428001000000002</v>
      </c>
      <c r="L79" s="202">
        <v>56.511001999999998</v>
      </c>
      <c r="M79" s="211">
        <f>M23*M82</f>
        <v>64.939729036734647</v>
      </c>
      <c r="N79" s="211">
        <f>N23*N82</f>
        <v>67.34640844800002</v>
      </c>
      <c r="O79" s="211">
        <f>O23*O82</f>
        <v>73.463707215360017</v>
      </c>
      <c r="P79" s="211">
        <f>P23*P82</f>
        <v>80.215886187360013</v>
      </c>
      <c r="Q79" s="211">
        <f>Q23*Q82</f>
        <v>88.237474806096017</v>
      </c>
      <c r="R79" s="124"/>
      <c r="S79" s="124"/>
      <c r="T79" s="124"/>
      <c r="U79" s="124"/>
      <c r="V79" s="124"/>
      <c r="W79" s="125"/>
      <c r="X79" s="126"/>
      <c r="Y79" s="126"/>
      <c r="Z79" s="124"/>
      <c r="AA79" s="124"/>
      <c r="AB79" s="124"/>
      <c r="AC79" s="197"/>
      <c r="AD79" s="197"/>
      <c r="AE79" s="197"/>
      <c r="AF79" s="197"/>
      <c r="AG79" s="197"/>
      <c r="AH79" s="197"/>
      <c r="AI79" s="197"/>
      <c r="AJ79" s="197"/>
      <c r="AK79" s="197"/>
      <c r="AL79" s="197"/>
      <c r="AM79" s="197"/>
      <c r="AN79" s="197"/>
    </row>
    <row r="80" spans="1:40" outlineLevel="2" x14ac:dyDescent="0.3">
      <c r="A80" s="200" t="str">
        <f>A79&amp;" as a % of Revenue"</f>
        <v>Salaries, Wages, and Administrative Personnel Expenses as a % of Revenue</v>
      </c>
      <c r="B80" s="201">
        <f t="shared" ref="B80:Q80" si="46">B79/B45</f>
        <v>6.4667463894765895E-2</v>
      </c>
      <c r="C80" s="201">
        <f t="shared" si="46"/>
        <v>6.1031656490576056E-2</v>
      </c>
      <c r="D80" s="201">
        <f t="shared" si="46"/>
        <v>6.1916120428976588E-2</v>
      </c>
      <c r="E80" s="201">
        <f t="shared" si="46"/>
        <v>9.7291081879896643E-2</v>
      </c>
      <c r="F80" s="201">
        <f t="shared" si="46"/>
        <v>9.9706971876546036E-2</v>
      </c>
      <c r="G80" s="201">
        <f t="shared" si="46"/>
        <v>0.10219503971562555</v>
      </c>
      <c r="H80" s="201">
        <f t="shared" si="46"/>
        <v>0.11197552426395586</v>
      </c>
      <c r="I80" s="201">
        <f t="shared" si="46"/>
        <v>0.12815791533306145</v>
      </c>
      <c r="J80" s="201">
        <f t="shared" si="46"/>
        <v>0.12342791311993988</v>
      </c>
      <c r="K80" s="201">
        <f t="shared" si="46"/>
        <v>0.11213329466214132</v>
      </c>
      <c r="L80" s="201">
        <f t="shared" si="46"/>
        <v>0.11312087164181495</v>
      </c>
      <c r="M80" s="142">
        <f t="shared" si="46"/>
        <v>0.11812391618805541</v>
      </c>
      <c r="N80" s="142">
        <f t="shared" si="46"/>
        <v>0.11284142660828375</v>
      </c>
      <c r="O80" s="142">
        <f t="shared" si="46"/>
        <v>0.11281883354552928</v>
      </c>
      <c r="P80" s="142">
        <f t="shared" si="46"/>
        <v>0.11394624434516303</v>
      </c>
      <c r="Q80" s="142">
        <f t="shared" si="46"/>
        <v>0.11420813379052772</v>
      </c>
      <c r="R80" s="124"/>
      <c r="S80" s="124"/>
      <c r="T80" s="124"/>
      <c r="U80" s="124"/>
      <c r="V80" s="124"/>
      <c r="W80" s="125"/>
      <c r="X80" s="126"/>
      <c r="Y80" s="126"/>
      <c r="Z80" s="124"/>
      <c r="AA80" s="124"/>
      <c r="AB80" s="124"/>
      <c r="AC80" s="197"/>
      <c r="AD80" s="197"/>
      <c r="AE80" s="197"/>
      <c r="AF80" s="197"/>
      <c r="AG80" s="197"/>
      <c r="AH80" s="197"/>
      <c r="AI80" s="197"/>
      <c r="AJ80" s="197"/>
      <c r="AK80" s="197"/>
      <c r="AL80" s="197"/>
      <c r="AM80" s="197"/>
      <c r="AN80" s="197"/>
    </row>
    <row r="81" spans="1:40" outlineLevel="2" x14ac:dyDescent="0.3">
      <c r="A81" s="200" t="s">
        <v>104</v>
      </c>
      <c r="B81" s="201"/>
      <c r="C81" s="201">
        <f>C79/B79-1</f>
        <v>0.39535324798482696</v>
      </c>
      <c r="D81" s="201">
        <f t="shared" ref="D81:Q81" si="47">D79/C79-1</f>
        <v>0.12022563544923193</v>
      </c>
      <c r="E81" s="201">
        <f t="shared" si="47"/>
        <v>0.71546435721652601</v>
      </c>
      <c r="F81" s="201">
        <f t="shared" si="47"/>
        <v>-7.3419085918060678E-2</v>
      </c>
      <c r="G81" s="201">
        <f t="shared" si="47"/>
        <v>-4.0954196910145124E-2</v>
      </c>
      <c r="H81" s="201">
        <f t="shared" si="47"/>
        <v>3.1082101680180552E-2</v>
      </c>
      <c r="I81" s="201">
        <f t="shared" si="47"/>
        <v>0.20086455145651727</v>
      </c>
      <c r="J81" s="201">
        <f t="shared" si="47"/>
        <v>8.7329615582412146E-2</v>
      </c>
      <c r="K81" s="201">
        <f t="shared" si="47"/>
        <v>0.3428715700396574</v>
      </c>
      <c r="L81" s="201">
        <f t="shared" si="47"/>
        <v>0.24396849423332534</v>
      </c>
      <c r="M81" s="142">
        <f t="shared" si="47"/>
        <v>0.14915196578419643</v>
      </c>
      <c r="N81" s="142">
        <f t="shared" si="47"/>
        <v>3.7060201004287752E-2</v>
      </c>
      <c r="O81" s="142">
        <f t="shared" si="47"/>
        <v>9.0833333333333321E-2</v>
      </c>
      <c r="P81" s="142">
        <f t="shared" si="47"/>
        <v>9.1911764705882248E-2</v>
      </c>
      <c r="Q81" s="142">
        <f t="shared" si="47"/>
        <v>0.10000000000000009</v>
      </c>
      <c r="R81" s="124"/>
      <c r="S81" s="124"/>
      <c r="T81" s="124"/>
      <c r="U81" s="124"/>
      <c r="V81" s="124"/>
      <c r="W81" s="125"/>
      <c r="X81" s="126"/>
      <c r="Y81" s="126"/>
      <c r="Z81" s="124"/>
      <c r="AA81" s="124"/>
      <c r="AB81" s="124"/>
      <c r="AC81" s="197"/>
      <c r="AD81" s="197"/>
      <c r="AE81" s="197"/>
      <c r="AF81" s="197"/>
      <c r="AG81" s="197"/>
      <c r="AH81" s="197"/>
      <c r="AI81" s="197"/>
      <c r="AJ81" s="197"/>
      <c r="AK81" s="197"/>
      <c r="AL81" s="197"/>
      <c r="AM81" s="197"/>
      <c r="AN81" s="197"/>
    </row>
    <row r="82" spans="1:40" outlineLevel="2" x14ac:dyDescent="0.3">
      <c r="A82" s="200" t="s">
        <v>497</v>
      </c>
      <c r="B82" s="201">
        <f t="shared" ref="B82:L82" si="48">B79/B23</f>
        <v>6.6909898477157365E-2</v>
      </c>
      <c r="C82" s="201">
        <f t="shared" si="48"/>
        <v>6.2826643894107609E-2</v>
      </c>
      <c r="D82" s="201">
        <f t="shared" si="48"/>
        <v>6.5382784609282041E-2</v>
      </c>
      <c r="E82" s="201">
        <f t="shared" si="48"/>
        <v>0.10009203185840708</v>
      </c>
      <c r="F82" s="201">
        <f t="shared" si="48"/>
        <v>0.10755337027914615</v>
      </c>
      <c r="G82" s="201">
        <f t="shared" si="48"/>
        <v>0.11187444790739091</v>
      </c>
      <c r="H82" s="201">
        <f t="shared" si="48"/>
        <v>0.1214058153701968</v>
      </c>
      <c r="I82" s="201">
        <f t="shared" si="48"/>
        <v>0.14383726306056402</v>
      </c>
      <c r="J82" s="201">
        <f t="shared" si="48"/>
        <v>0.12887237714285715</v>
      </c>
      <c r="K82" s="201">
        <f t="shared" si="48"/>
        <v>0.12040286509408958</v>
      </c>
      <c r="L82" s="201">
        <f t="shared" si="48"/>
        <v>0.12189603537532355</v>
      </c>
      <c r="M82" s="273">
        <f>AVERAGE(H82:L82)</f>
        <v>0.12728287120860621</v>
      </c>
      <c r="N82" s="273">
        <v>0.12</v>
      </c>
      <c r="O82" s="273">
        <v>0.11899999999999999</v>
      </c>
      <c r="P82" s="273">
        <v>0.12</v>
      </c>
      <c r="Q82" s="273">
        <v>0.12</v>
      </c>
      <c r="R82" s="124"/>
      <c r="S82" s="124"/>
      <c r="T82" s="124"/>
      <c r="U82" s="124"/>
      <c r="V82" s="124"/>
      <c r="W82" s="125"/>
      <c r="X82" s="126"/>
      <c r="Y82" s="126"/>
      <c r="Z82" s="124"/>
      <c r="AA82" s="124"/>
      <c r="AB82" s="124"/>
      <c r="AC82" s="197"/>
      <c r="AD82" s="197"/>
      <c r="AE82" s="197"/>
      <c r="AF82" s="197"/>
      <c r="AG82" s="197"/>
      <c r="AH82" s="197"/>
      <c r="AI82" s="197"/>
      <c r="AJ82" s="197"/>
      <c r="AK82" s="197"/>
      <c r="AL82" s="197"/>
      <c r="AM82" s="197"/>
      <c r="AN82" s="197"/>
    </row>
    <row r="83" spans="1:40" outlineLevel="2" x14ac:dyDescent="0.3">
      <c r="A83" s="200" t="s">
        <v>97</v>
      </c>
      <c r="B83" s="201"/>
      <c r="C83" s="201">
        <f>C82/B82-1</f>
        <v>-6.1026166172464813E-2</v>
      </c>
      <c r="D83" s="201">
        <f t="shared" ref="D83:Q83" si="49">D82/C82-1</f>
        <v>4.06856161134872E-2</v>
      </c>
      <c r="E83" s="201">
        <f t="shared" si="49"/>
        <v>0.53086217505942002</v>
      </c>
      <c r="F83" s="201">
        <f t="shared" si="49"/>
        <v>7.4544779261690675E-2</v>
      </c>
      <c r="G83" s="201">
        <f t="shared" si="49"/>
        <v>4.0176124811614589E-2</v>
      </c>
      <c r="H83" s="201">
        <f t="shared" si="49"/>
        <v>8.5197001112317539E-2</v>
      </c>
      <c r="I83" s="201">
        <f t="shared" si="49"/>
        <v>0.18476419454840864</v>
      </c>
      <c r="J83" s="201">
        <f t="shared" si="49"/>
        <v>-0.10404039676009247</v>
      </c>
      <c r="K83" s="201">
        <f t="shared" si="49"/>
        <v>-6.5720150714524195E-2</v>
      </c>
      <c r="L83" s="201">
        <f t="shared" si="49"/>
        <v>1.2401451411202968E-2</v>
      </c>
      <c r="M83" s="142">
        <f t="shared" si="49"/>
        <v>4.4192051174563041E-2</v>
      </c>
      <c r="N83" s="142">
        <f t="shared" si="49"/>
        <v>-5.7217999087011306E-2</v>
      </c>
      <c r="O83" s="142">
        <f t="shared" si="49"/>
        <v>-8.3333333333333037E-3</v>
      </c>
      <c r="P83" s="142">
        <f t="shared" si="49"/>
        <v>8.4033613445377853E-3</v>
      </c>
      <c r="Q83" s="142">
        <f t="shared" si="49"/>
        <v>0</v>
      </c>
      <c r="R83" s="124"/>
      <c r="S83" s="124"/>
      <c r="T83" s="124"/>
      <c r="U83" s="124"/>
      <c r="V83" s="124"/>
      <c r="W83" s="125"/>
      <c r="X83" s="126"/>
      <c r="Y83" s="126"/>
      <c r="Z83" s="124"/>
      <c r="AA83" s="124"/>
      <c r="AB83" s="124"/>
      <c r="AC83" s="197"/>
      <c r="AD83" s="197"/>
      <c r="AE83" s="197"/>
      <c r="AF83" s="197"/>
      <c r="AG83" s="197"/>
      <c r="AH83" s="197"/>
      <c r="AI83" s="197"/>
      <c r="AJ83" s="197"/>
      <c r="AK83" s="197"/>
      <c r="AL83" s="197"/>
      <c r="AM83" s="197"/>
      <c r="AN83" s="197"/>
    </row>
    <row r="84" spans="1:40" outlineLevel="2" x14ac:dyDescent="0.3">
      <c r="A84" s="200" t="s">
        <v>569</v>
      </c>
      <c r="B84" s="202">
        <f t="shared" ref="B84:Q84" si="50">(B79/B11)*1000000</f>
        <v>95.86363636363636</v>
      </c>
      <c r="C84" s="202">
        <f t="shared" si="50"/>
        <v>91.962500000000006</v>
      </c>
      <c r="D84" s="202">
        <f t="shared" si="50"/>
        <v>94.188571428571422</v>
      </c>
      <c r="E84" s="202">
        <f t="shared" si="50"/>
        <v>176.72499375000001</v>
      </c>
      <c r="F84" s="202">
        <f t="shared" si="50"/>
        <v>174.66667333333334</v>
      </c>
      <c r="G84" s="202">
        <f t="shared" si="50"/>
        <v>180.76979136690647</v>
      </c>
      <c r="H84" s="202">
        <f t="shared" si="50"/>
        <v>204.00000787401572</v>
      </c>
      <c r="I84" s="202">
        <f t="shared" si="50"/>
        <v>237.49618320610685</v>
      </c>
      <c r="J84" s="202">
        <f t="shared" si="50"/>
        <v>219.66882467532471</v>
      </c>
      <c r="K84" s="202">
        <f t="shared" si="50"/>
        <v>251.40011621472055</v>
      </c>
      <c r="L84" s="202">
        <f t="shared" si="50"/>
        <v>268.58841254752855</v>
      </c>
      <c r="M84" s="211">
        <f t="shared" si="50"/>
        <v>291.17820968476326</v>
      </c>
      <c r="N84" s="211">
        <f t="shared" si="50"/>
        <v>287.58984063214217</v>
      </c>
      <c r="O84" s="211">
        <f t="shared" si="50"/>
        <v>298.77388999005876</v>
      </c>
      <c r="P84" s="211">
        <f t="shared" si="50"/>
        <v>310.69973854008214</v>
      </c>
      <c r="Q84" s="211">
        <f t="shared" si="50"/>
        <v>325.4949641848479</v>
      </c>
      <c r="R84" s="124"/>
      <c r="S84" s="124"/>
      <c r="T84" s="124"/>
      <c r="U84" s="124"/>
      <c r="V84" s="124"/>
      <c r="W84" s="125"/>
      <c r="X84" s="126"/>
      <c r="Y84" s="126"/>
      <c r="Z84" s="124"/>
      <c r="AA84" s="124"/>
      <c r="AB84" s="124"/>
      <c r="AC84" s="197"/>
      <c r="AD84" s="197"/>
      <c r="AE84" s="197"/>
      <c r="AF84" s="197"/>
      <c r="AG84" s="197"/>
      <c r="AH84" s="197"/>
      <c r="AI84" s="197"/>
      <c r="AJ84" s="197"/>
      <c r="AK84" s="197"/>
      <c r="AL84" s="197"/>
      <c r="AM84" s="197"/>
      <c r="AN84" s="197"/>
    </row>
    <row r="85" spans="1:40" outlineLevel="2" x14ac:dyDescent="0.3">
      <c r="A85" s="200" t="s">
        <v>97</v>
      </c>
      <c r="B85" s="201"/>
      <c r="C85" s="201">
        <f>C84/B84-1</f>
        <v>-4.0694642010431381E-2</v>
      </c>
      <c r="D85" s="201">
        <f t="shared" ref="D85:Q85" si="51">D84/C84-1</f>
        <v>2.4206295267869216E-2</v>
      </c>
      <c r="E85" s="201">
        <f t="shared" si="51"/>
        <v>0.87628914070557573</v>
      </c>
      <c r="F85" s="201">
        <f t="shared" si="51"/>
        <v>-1.1647024979264842E-2</v>
      </c>
      <c r="G85" s="201">
        <f t="shared" si="51"/>
        <v>3.4941514125742534E-2</v>
      </c>
      <c r="H85" s="201">
        <f t="shared" si="51"/>
        <v>0.12850718215389834</v>
      </c>
      <c r="I85" s="201">
        <f t="shared" si="51"/>
        <v>0.16419693156471515</v>
      </c>
      <c r="J85" s="201">
        <f t="shared" si="51"/>
        <v>-7.5063768563013E-2</v>
      </c>
      <c r="K85" s="201">
        <f t="shared" si="51"/>
        <v>0.14445059095798141</v>
      </c>
      <c r="L85" s="201">
        <f t="shared" si="51"/>
        <v>6.8370279980807469E-2</v>
      </c>
      <c r="M85" s="142">
        <f t="shared" si="51"/>
        <v>8.4105628098298135E-2</v>
      </c>
      <c r="N85" s="142">
        <f t="shared" si="51"/>
        <v>-1.2323618091154342E-2</v>
      </c>
      <c r="O85" s="142">
        <f t="shared" si="51"/>
        <v>3.8888888888888751E-2</v>
      </c>
      <c r="P85" s="142">
        <f t="shared" si="51"/>
        <v>3.9915966386554702E-2</v>
      </c>
      <c r="Q85" s="142">
        <f t="shared" si="51"/>
        <v>4.761904761904745E-2</v>
      </c>
      <c r="R85" s="124"/>
      <c r="S85" s="124"/>
      <c r="T85" s="124"/>
      <c r="U85" s="124"/>
      <c r="V85" s="124"/>
      <c r="W85" s="125"/>
      <c r="X85" s="126"/>
      <c r="Y85" s="126"/>
      <c r="Z85" s="124"/>
      <c r="AA85" s="124"/>
      <c r="AB85" s="124"/>
      <c r="AC85" s="197"/>
      <c r="AD85" s="197"/>
      <c r="AE85" s="197"/>
      <c r="AF85" s="197"/>
      <c r="AG85" s="197"/>
      <c r="AH85" s="197"/>
      <c r="AI85" s="197"/>
      <c r="AJ85" s="197"/>
      <c r="AK85" s="197"/>
      <c r="AL85" s="197"/>
      <c r="AM85" s="197"/>
      <c r="AN85" s="197"/>
    </row>
    <row r="86" spans="1:40" outlineLevel="2" x14ac:dyDescent="0.3">
      <c r="A86" s="200"/>
      <c r="B86" s="201"/>
      <c r="C86" s="201"/>
      <c r="D86" s="201"/>
      <c r="E86" s="201"/>
      <c r="F86" s="201"/>
      <c r="G86" s="201"/>
      <c r="H86" s="201"/>
      <c r="I86" s="201"/>
      <c r="J86" s="201"/>
      <c r="K86" s="201"/>
      <c r="L86" s="201"/>
      <c r="M86" s="54"/>
      <c r="N86" s="54"/>
      <c r="O86" s="54"/>
      <c r="P86" s="54"/>
      <c r="Q86" s="54"/>
      <c r="R86" s="124"/>
      <c r="S86" s="124"/>
      <c r="T86" s="124"/>
      <c r="U86" s="124"/>
      <c r="V86" s="124"/>
      <c r="W86" s="125"/>
      <c r="X86" s="126"/>
      <c r="Y86" s="126"/>
      <c r="Z86" s="124"/>
      <c r="AA86" s="124"/>
      <c r="AB86" s="124"/>
      <c r="AC86" s="197"/>
      <c r="AD86" s="197"/>
      <c r="AE86" s="197"/>
      <c r="AF86" s="197"/>
      <c r="AG86" s="197"/>
      <c r="AH86" s="197"/>
      <c r="AI86" s="197"/>
      <c r="AJ86" s="197"/>
      <c r="AK86" s="197"/>
      <c r="AL86" s="197"/>
      <c r="AM86" s="197"/>
      <c r="AN86" s="197"/>
    </row>
    <row r="87" spans="1:40" outlineLevel="2" x14ac:dyDescent="0.3">
      <c r="A87" s="198" t="s">
        <v>492</v>
      </c>
      <c r="B87" s="202">
        <v>10.54</v>
      </c>
      <c r="C87" s="202">
        <v>19.57</v>
      </c>
      <c r="D87" s="202">
        <v>20.79</v>
      </c>
      <c r="E87" s="202">
        <v>11.52</v>
      </c>
      <c r="F87" s="202">
        <v>12.61</v>
      </c>
      <c r="G87" s="202">
        <v>12.06</v>
      </c>
      <c r="H87" s="202">
        <v>12.12</v>
      </c>
      <c r="I87" s="202">
        <v>12.2</v>
      </c>
      <c r="J87" s="202">
        <v>13.8</v>
      </c>
      <c r="K87" s="202">
        <v>21.84</v>
      </c>
      <c r="L87" s="202">
        <v>24.98</v>
      </c>
      <c r="M87" s="211">
        <f>M23*M89</f>
        <v>28.319874300607037</v>
      </c>
      <c r="N87" s="211">
        <f>N23*N89</f>
        <v>28.061003520000011</v>
      </c>
      <c r="O87" s="211">
        <f>O23*O89</f>
        <v>30.249761794560008</v>
      </c>
      <c r="P87" s="211">
        <f>P23*P89</f>
        <v>36.097148784312004</v>
      </c>
      <c r="Q87" s="211">
        <f>Q23*Q89</f>
        <v>39.70686366274321</v>
      </c>
      <c r="R87" s="124"/>
      <c r="S87" s="124"/>
      <c r="T87" s="124"/>
      <c r="U87" s="124"/>
      <c r="V87" s="124"/>
      <c r="W87" s="125"/>
      <c r="X87" s="126"/>
      <c r="Y87" s="126"/>
      <c r="Z87" s="124"/>
      <c r="AA87" s="124"/>
      <c r="AB87" s="124"/>
      <c r="AC87" s="197"/>
      <c r="AD87" s="197"/>
      <c r="AE87" s="197"/>
      <c r="AF87" s="197"/>
      <c r="AG87" s="197"/>
      <c r="AH87" s="197"/>
      <c r="AI87" s="197"/>
      <c r="AJ87" s="197"/>
      <c r="AK87" s="197"/>
      <c r="AL87" s="197"/>
      <c r="AM87" s="197"/>
      <c r="AN87" s="197"/>
    </row>
    <row r="88" spans="1:40" outlineLevel="2" x14ac:dyDescent="0.3">
      <c r="A88" s="200" t="str">
        <f>A87&amp;" as a % of revenue"</f>
        <v>Other Operating Expense as a % of revenue</v>
      </c>
      <c r="B88" s="201">
        <f t="shared" ref="B88:Q88" si="52">B87/B45</f>
        <v>6.4636801275564953E-2</v>
      </c>
      <c r="C88" s="201">
        <f t="shared" si="52"/>
        <v>8.1173679320414124E-2</v>
      </c>
      <c r="D88" s="201">
        <f t="shared" si="52"/>
        <v>7.8094773021805688E-2</v>
      </c>
      <c r="E88" s="201">
        <f t="shared" si="52"/>
        <v>3.9637618577381094E-2</v>
      </c>
      <c r="F88" s="201">
        <f t="shared" si="52"/>
        <v>4.7988735395973668E-2</v>
      </c>
      <c r="G88" s="201">
        <f t="shared" si="52"/>
        <v>4.9049712656534065E-2</v>
      </c>
      <c r="H88" s="201">
        <f t="shared" si="52"/>
        <v>5.2383175146517288E-2</v>
      </c>
      <c r="I88" s="201">
        <f t="shared" si="52"/>
        <v>5.0254775233458143E-2</v>
      </c>
      <c r="J88" s="201">
        <f t="shared" si="52"/>
        <v>5.0350446404138952E-2</v>
      </c>
      <c r="K88" s="201">
        <f t="shared" si="52"/>
        <v>5.3909287257019441E-2</v>
      </c>
      <c r="L88" s="201">
        <f t="shared" si="52"/>
        <v>5.0003703236628817E-2</v>
      </c>
      <c r="M88" s="142">
        <f t="shared" si="52"/>
        <v>5.1513218609964481E-2</v>
      </c>
      <c r="N88" s="142">
        <f t="shared" si="52"/>
        <v>4.7017261086784896E-2</v>
      </c>
      <c r="O88" s="142">
        <f t="shared" si="52"/>
        <v>4.6454813812865002E-2</v>
      </c>
      <c r="P88" s="142">
        <f t="shared" si="52"/>
        <v>5.1275809955323361E-2</v>
      </c>
      <c r="Q88" s="142">
        <f t="shared" si="52"/>
        <v>5.1393660205737476E-2</v>
      </c>
      <c r="R88" s="124"/>
      <c r="S88" s="124"/>
      <c r="T88" s="124"/>
      <c r="U88" s="124"/>
      <c r="V88" s="124"/>
      <c r="W88" s="125"/>
      <c r="X88" s="126"/>
      <c r="Y88" s="126"/>
      <c r="Z88" s="124"/>
      <c r="AA88" s="124"/>
      <c r="AB88" s="124"/>
      <c r="AC88" s="197"/>
      <c r="AD88" s="197"/>
      <c r="AE88" s="197"/>
      <c r="AF88" s="197"/>
      <c r="AG88" s="197"/>
      <c r="AH88" s="197"/>
      <c r="AI88" s="197"/>
      <c r="AJ88" s="197"/>
      <c r="AK88" s="197"/>
      <c r="AL88" s="197"/>
      <c r="AM88" s="197"/>
      <c r="AN88" s="197"/>
    </row>
    <row r="89" spans="1:40" outlineLevel="2" x14ac:dyDescent="0.3">
      <c r="A89" s="200" t="s">
        <v>499</v>
      </c>
      <c r="B89" s="201">
        <f t="shared" ref="B89:L89" si="53">B87/B23</f>
        <v>6.6878172588832482E-2</v>
      </c>
      <c r="C89" s="201">
        <f t="shared" si="53"/>
        <v>8.3561058923996595E-2</v>
      </c>
      <c r="D89" s="201">
        <f t="shared" si="53"/>
        <v>8.2467274890916306E-2</v>
      </c>
      <c r="E89" s="201">
        <f t="shared" si="53"/>
        <v>4.0778761061946903E-2</v>
      </c>
      <c r="F89" s="201">
        <f t="shared" si="53"/>
        <v>5.1765188834154353E-2</v>
      </c>
      <c r="G89" s="201">
        <f t="shared" si="53"/>
        <v>5.3695458593054322E-2</v>
      </c>
      <c r="H89" s="201">
        <f t="shared" si="53"/>
        <v>5.6794751640112461E-2</v>
      </c>
      <c r="I89" s="201">
        <f t="shared" si="53"/>
        <v>5.640314378178455E-2</v>
      </c>
      <c r="J89" s="201">
        <f t="shared" si="53"/>
        <v>5.2571428571428575E-2</v>
      </c>
      <c r="K89" s="201">
        <f t="shared" si="53"/>
        <v>5.7884972170686451E-2</v>
      </c>
      <c r="L89" s="201">
        <f t="shared" si="53"/>
        <v>5.3882657463330458E-2</v>
      </c>
      <c r="M89" s="273">
        <f>AVERAGE(H89:L89)</f>
        <v>5.5507390725468495E-2</v>
      </c>
      <c r="N89" s="273">
        <v>0.05</v>
      </c>
      <c r="O89" s="273">
        <v>4.9000000000000002E-2</v>
      </c>
      <c r="P89" s="273">
        <v>5.3999999999999999E-2</v>
      </c>
      <c r="Q89" s="273">
        <v>5.3999999999999999E-2</v>
      </c>
      <c r="R89" s="124"/>
      <c r="S89" s="124"/>
      <c r="T89" s="124"/>
      <c r="U89" s="124"/>
      <c r="V89" s="124"/>
      <c r="W89" s="125"/>
      <c r="X89" s="126"/>
      <c r="Y89" s="126"/>
      <c r="Z89" s="124"/>
      <c r="AA89" s="124"/>
      <c r="AB89" s="124"/>
      <c r="AC89" s="197"/>
      <c r="AD89" s="197"/>
      <c r="AE89" s="197"/>
      <c r="AF89" s="197"/>
      <c r="AG89" s="197"/>
      <c r="AH89" s="197"/>
      <c r="AI89" s="197"/>
      <c r="AJ89" s="197"/>
      <c r="AK89" s="197"/>
      <c r="AL89" s="197"/>
      <c r="AM89" s="197"/>
      <c r="AN89" s="197"/>
    </row>
    <row r="90" spans="1:40" outlineLevel="2" x14ac:dyDescent="0.3">
      <c r="A90" s="200"/>
      <c r="B90" s="201"/>
      <c r="C90" s="201"/>
      <c r="D90" s="201"/>
      <c r="E90" s="201"/>
      <c r="F90" s="201"/>
      <c r="G90" s="201"/>
      <c r="H90" s="201"/>
      <c r="I90" s="201"/>
      <c r="J90" s="201"/>
      <c r="K90" s="201"/>
      <c r="L90" s="201"/>
      <c r="M90" s="212"/>
      <c r="N90" s="212"/>
      <c r="O90" s="212"/>
      <c r="P90" s="212"/>
      <c r="Q90" s="212"/>
      <c r="R90" s="124"/>
      <c r="S90" s="124"/>
      <c r="T90" s="124"/>
      <c r="U90" s="124"/>
      <c r="V90" s="124"/>
      <c r="W90" s="125"/>
      <c r="X90" s="126"/>
      <c r="Y90" s="126"/>
      <c r="Z90" s="124"/>
      <c r="AA90" s="124"/>
      <c r="AB90" s="124"/>
      <c r="AC90" s="197"/>
      <c r="AD90" s="197"/>
      <c r="AE90" s="197"/>
      <c r="AF90" s="197"/>
      <c r="AG90" s="197"/>
      <c r="AH90" s="197"/>
      <c r="AI90" s="197"/>
      <c r="AJ90" s="197"/>
      <c r="AK90" s="197"/>
      <c r="AL90" s="197"/>
      <c r="AM90" s="197"/>
      <c r="AN90" s="197"/>
    </row>
    <row r="91" spans="1:40" outlineLevel="2" x14ac:dyDescent="0.3">
      <c r="A91" s="243" t="s">
        <v>225</v>
      </c>
      <c r="B91" s="201">
        <f t="shared" ref="B91:Q91" si="54">B61/B23</f>
        <v>0.42074871827411164</v>
      </c>
      <c r="C91" s="201">
        <f t="shared" si="54"/>
        <v>0.27806576003415884</v>
      </c>
      <c r="D91" s="201">
        <f t="shared" si="54"/>
        <v>0.31522412534708449</v>
      </c>
      <c r="E91" s="201">
        <f t="shared" si="54"/>
        <v>0.3087575185840708</v>
      </c>
      <c r="F91" s="201">
        <f t="shared" si="54"/>
        <v>0.51176929392446635</v>
      </c>
      <c r="G91" s="201">
        <f t="shared" si="54"/>
        <v>0.73743988423864648</v>
      </c>
      <c r="H91" s="201">
        <f t="shared" si="54"/>
        <v>0.51231491565135889</v>
      </c>
      <c r="I91" s="201">
        <f t="shared" si="54"/>
        <v>0.49705963938973641</v>
      </c>
      <c r="J91" s="201">
        <f t="shared" si="54"/>
        <v>0.60966093333333338</v>
      </c>
      <c r="K91" s="201">
        <f t="shared" si="54"/>
        <v>0.60303470447919427</v>
      </c>
      <c r="L91" s="201">
        <f t="shared" si="54"/>
        <v>0.8012575776531492</v>
      </c>
      <c r="M91" s="142">
        <f t="shared" si="54"/>
        <v>0.57999999999999996</v>
      </c>
      <c r="N91" s="142">
        <f>N61/N23</f>
        <v>0.63360000000000005</v>
      </c>
      <c r="O91" s="142">
        <f t="shared" si="54"/>
        <v>0.63359999999999994</v>
      </c>
      <c r="P91" s="142">
        <f t="shared" si="54"/>
        <v>0.54</v>
      </c>
      <c r="Q91" s="142">
        <f t="shared" si="54"/>
        <v>0.54</v>
      </c>
      <c r="R91" s="142"/>
      <c r="S91" s="124"/>
      <c r="T91" s="124"/>
      <c r="U91" s="124"/>
      <c r="V91" s="124"/>
      <c r="W91" s="125"/>
      <c r="X91" s="126"/>
      <c r="Y91" s="126"/>
      <c r="Z91" s="124"/>
      <c r="AA91" s="124"/>
      <c r="AB91" s="124"/>
      <c r="AC91" s="197"/>
      <c r="AD91" s="197"/>
      <c r="AE91" s="197"/>
      <c r="AF91" s="197"/>
      <c r="AG91" s="197"/>
      <c r="AH91" s="197"/>
      <c r="AI91" s="197"/>
      <c r="AJ91" s="197"/>
      <c r="AK91" s="197"/>
      <c r="AL91" s="197"/>
      <c r="AM91" s="197"/>
      <c r="AN91" s="197"/>
    </row>
    <row r="92" spans="1:40" outlineLevel="2" x14ac:dyDescent="0.3">
      <c r="A92" s="243" t="s">
        <v>436</v>
      </c>
      <c r="B92" s="201">
        <f t="shared" ref="B92:Q92" si="55">(B71+B79+B87)/B23</f>
        <v>0.29831852791878172</v>
      </c>
      <c r="C92" s="201">
        <f t="shared" si="55"/>
        <v>0.28139623825789922</v>
      </c>
      <c r="D92" s="201">
        <f t="shared" si="55"/>
        <v>0.29839349464498216</v>
      </c>
      <c r="E92" s="201">
        <f t="shared" si="55"/>
        <v>0.28948672566371675</v>
      </c>
      <c r="F92" s="201">
        <f t="shared" si="55"/>
        <v>0.33436781198686372</v>
      </c>
      <c r="G92" s="201">
        <f t="shared" si="55"/>
        <v>0.3421638423864648</v>
      </c>
      <c r="H92" s="201">
        <f t="shared" si="55"/>
        <v>0.3606888566073102</v>
      </c>
      <c r="I92" s="201">
        <f t="shared" si="55"/>
        <v>0.39671290799815073</v>
      </c>
      <c r="J92" s="201">
        <f t="shared" si="55"/>
        <v>0.3866209523809524</v>
      </c>
      <c r="K92" s="201">
        <f t="shared" si="55"/>
        <v>0.42671614895308768</v>
      </c>
      <c r="L92" s="201">
        <f t="shared" si="55"/>
        <v>0.40221742666091453</v>
      </c>
      <c r="M92" s="142">
        <f t="shared" si="55"/>
        <v>0.39459125852008314</v>
      </c>
      <c r="N92" s="142">
        <f t="shared" si="55"/>
        <v>0.37000000000000005</v>
      </c>
      <c r="O92" s="142">
        <f t="shared" si="55"/>
        <v>0.36699999999999999</v>
      </c>
      <c r="P92" s="142">
        <f t="shared" si="55"/>
        <v>0.374</v>
      </c>
      <c r="Q92" s="142">
        <f t="shared" si="55"/>
        <v>0.374</v>
      </c>
      <c r="R92" s="124"/>
      <c r="S92" s="124"/>
      <c r="T92" s="124"/>
      <c r="U92" s="124"/>
      <c r="V92" s="124"/>
      <c r="W92" s="125"/>
      <c r="X92" s="126"/>
      <c r="Y92" s="126"/>
      <c r="Z92" s="124"/>
      <c r="AA92" s="124"/>
      <c r="AB92" s="124"/>
      <c r="AC92" s="197"/>
      <c r="AD92" s="197"/>
      <c r="AE92" s="197"/>
      <c r="AF92" s="197"/>
      <c r="AG92" s="197"/>
      <c r="AH92" s="197"/>
      <c r="AI92" s="197"/>
      <c r="AJ92" s="197"/>
      <c r="AK92" s="197"/>
      <c r="AL92" s="197"/>
      <c r="AM92" s="197"/>
      <c r="AN92" s="197"/>
    </row>
    <row r="93" spans="1:40" outlineLevel="2" x14ac:dyDescent="0.3">
      <c r="A93" s="243" t="s">
        <v>107</v>
      </c>
      <c r="B93" s="201">
        <f>B91+B92</f>
        <v>0.71906724619289331</v>
      </c>
      <c r="C93" s="201">
        <f t="shared" ref="C93:K93" si="56">C91+C92</f>
        <v>0.55946199829205812</v>
      </c>
      <c r="D93" s="201">
        <f t="shared" si="56"/>
        <v>0.61361761999206665</v>
      </c>
      <c r="E93" s="201">
        <f t="shared" si="56"/>
        <v>0.59824424424778755</v>
      </c>
      <c r="F93" s="201">
        <f t="shared" si="56"/>
        <v>0.84613710591133007</v>
      </c>
      <c r="G93" s="201">
        <f t="shared" si="56"/>
        <v>1.0796037266251113</v>
      </c>
      <c r="H93" s="201">
        <f t="shared" si="56"/>
        <v>0.8730037722586691</v>
      </c>
      <c r="I93" s="201">
        <f t="shared" si="56"/>
        <v>0.89377254738788714</v>
      </c>
      <c r="J93" s="201">
        <f t="shared" si="56"/>
        <v>0.99628188571428578</v>
      </c>
      <c r="K93" s="201">
        <f t="shared" si="56"/>
        <v>1.0297508534322819</v>
      </c>
      <c r="L93" s="201">
        <f>L91+L92</f>
        <v>1.2034750043140638</v>
      </c>
      <c r="M93" s="142">
        <f>M91+M92</f>
        <v>0.9745912585200831</v>
      </c>
      <c r="N93" s="142">
        <f>N91+N92</f>
        <v>1.0036</v>
      </c>
      <c r="O93" s="142">
        <f t="shared" ref="O93:Q93" si="57">O91+O92</f>
        <v>1.0005999999999999</v>
      </c>
      <c r="P93" s="142">
        <f t="shared" si="57"/>
        <v>0.91400000000000003</v>
      </c>
      <c r="Q93" s="142">
        <f t="shared" si="57"/>
        <v>0.91400000000000003</v>
      </c>
      <c r="R93" s="124"/>
      <c r="S93" s="124"/>
      <c r="T93" s="124"/>
      <c r="U93" s="124"/>
      <c r="V93" s="124"/>
      <c r="W93" s="125"/>
      <c r="X93" s="126"/>
      <c r="Y93" s="126"/>
      <c r="Z93" s="124"/>
      <c r="AA93" s="124"/>
      <c r="AB93" s="124"/>
      <c r="AC93" s="197"/>
      <c r="AD93" s="197"/>
      <c r="AE93" s="197"/>
      <c r="AF93" s="197"/>
      <c r="AG93" s="197"/>
      <c r="AH93" s="197"/>
      <c r="AI93" s="197"/>
      <c r="AJ93" s="197"/>
      <c r="AK93" s="197"/>
      <c r="AL93" s="197"/>
      <c r="AM93" s="197"/>
      <c r="AN93" s="197"/>
    </row>
    <row r="94" spans="1:40" outlineLevel="2" x14ac:dyDescent="0.3">
      <c r="A94" s="129"/>
      <c r="B94" s="137"/>
      <c r="C94" s="137"/>
      <c r="D94" s="137"/>
      <c r="E94" s="137"/>
      <c r="F94" s="137"/>
      <c r="G94" s="137"/>
      <c r="H94" s="137"/>
      <c r="I94" s="137"/>
      <c r="J94" s="137"/>
      <c r="K94" s="137"/>
      <c r="L94" s="137"/>
      <c r="M94" s="130"/>
      <c r="N94" s="130"/>
      <c r="O94" s="130"/>
      <c r="P94" s="130"/>
      <c r="Q94" s="130"/>
      <c r="R94" s="124"/>
      <c r="S94" s="124"/>
      <c r="T94" s="124"/>
      <c r="U94" s="124"/>
      <c r="V94" s="124"/>
      <c r="W94" s="125"/>
      <c r="X94" s="126"/>
      <c r="Y94" s="126"/>
      <c r="Z94" s="124"/>
      <c r="AA94" s="124"/>
      <c r="AB94" s="124"/>
      <c r="AC94" s="124"/>
      <c r="AD94" s="124"/>
      <c r="AE94" s="127"/>
    </row>
    <row r="95" spans="1:40" outlineLevel="2" x14ac:dyDescent="0.3">
      <c r="A95" s="129"/>
      <c r="B95" s="137"/>
      <c r="C95" s="137"/>
      <c r="D95" s="137"/>
      <c r="E95" s="137"/>
      <c r="F95" s="137"/>
      <c r="G95" s="137"/>
      <c r="H95" s="137"/>
      <c r="I95" s="137"/>
      <c r="J95" s="137"/>
      <c r="K95" s="137"/>
      <c r="L95" s="137"/>
      <c r="M95" s="142"/>
      <c r="N95" s="142"/>
      <c r="O95" s="142"/>
      <c r="P95" s="142"/>
      <c r="Q95" s="142"/>
      <c r="R95" s="124"/>
      <c r="S95" s="124"/>
      <c r="T95" s="124"/>
      <c r="U95" s="124"/>
      <c r="V95" s="124"/>
      <c r="W95" s="125"/>
      <c r="X95" s="126"/>
      <c r="Y95" s="126"/>
      <c r="Z95" s="124"/>
      <c r="AA95" s="124"/>
      <c r="AB95" s="124"/>
      <c r="AC95" s="124"/>
      <c r="AD95" s="124"/>
      <c r="AE95" s="127"/>
    </row>
    <row r="96" spans="1:40" outlineLevel="2" x14ac:dyDescent="0.3">
      <c r="B96" s="274"/>
      <c r="C96" s="274"/>
      <c r="D96" s="274"/>
      <c r="E96" s="274"/>
      <c r="F96" s="274"/>
      <c r="G96" s="274"/>
      <c r="H96" s="274"/>
      <c r="I96" s="274"/>
      <c r="J96" s="274"/>
      <c r="K96" s="274"/>
      <c r="L96" s="274"/>
      <c r="M96" s="130"/>
      <c r="N96" s="130"/>
      <c r="O96" s="130"/>
      <c r="P96" s="130"/>
      <c r="Q96" s="130"/>
      <c r="R96" s="124"/>
      <c r="S96" s="124"/>
      <c r="T96" s="124"/>
      <c r="U96" s="124"/>
      <c r="V96" s="124"/>
      <c r="W96" s="125"/>
      <c r="X96" s="126"/>
      <c r="Y96" s="126"/>
      <c r="Z96" s="124"/>
      <c r="AA96" s="124"/>
      <c r="AB96" s="124"/>
      <c r="AC96" s="124"/>
      <c r="AD96" s="124"/>
      <c r="AE96" s="127"/>
    </row>
    <row r="97" spans="1:31" outlineLevel="2" x14ac:dyDescent="0.3">
      <c r="A97" s="129"/>
      <c r="B97" s="137"/>
      <c r="C97" s="137"/>
      <c r="D97" s="137"/>
      <c r="E97" s="137"/>
      <c r="F97" s="137"/>
      <c r="G97" s="137"/>
      <c r="H97" s="137"/>
      <c r="I97" s="137"/>
      <c r="J97" s="137"/>
      <c r="K97" s="137"/>
      <c r="L97" s="137"/>
      <c r="M97" s="130"/>
      <c r="N97" s="130"/>
      <c r="O97" s="130"/>
      <c r="P97" s="130"/>
      <c r="Q97" s="130"/>
      <c r="R97" s="124"/>
      <c r="S97" s="124"/>
      <c r="T97" s="124"/>
      <c r="U97" s="124"/>
      <c r="V97" s="124"/>
      <c r="W97" s="125"/>
      <c r="X97" s="126"/>
      <c r="Y97" s="126"/>
      <c r="Z97" s="124"/>
      <c r="AA97" s="124"/>
      <c r="AB97" s="124"/>
      <c r="AC97" s="124"/>
      <c r="AD97" s="124"/>
      <c r="AE97" s="127"/>
    </row>
    <row r="98" spans="1:31" outlineLevel="2" x14ac:dyDescent="0.3">
      <c r="A98" s="129"/>
      <c r="B98" s="137"/>
      <c r="C98" s="137"/>
      <c r="D98" s="137"/>
      <c r="E98" s="137"/>
      <c r="F98" s="137"/>
      <c r="G98" s="137"/>
      <c r="H98" s="137"/>
      <c r="I98" s="137"/>
      <c r="J98" s="137"/>
      <c r="K98" s="137"/>
      <c r="L98" s="137"/>
      <c r="M98" s="143"/>
      <c r="N98" s="143"/>
      <c r="O98" s="143"/>
      <c r="P98" s="143"/>
      <c r="Q98" s="143"/>
      <c r="R98" s="124"/>
      <c r="S98" s="124"/>
      <c r="T98" s="124"/>
      <c r="U98" s="124"/>
      <c r="V98" s="124"/>
      <c r="W98" s="125"/>
      <c r="X98" s="126"/>
      <c r="Y98" s="126"/>
      <c r="Z98" s="124"/>
      <c r="AA98" s="124"/>
      <c r="AB98" s="124"/>
      <c r="AC98" s="124"/>
      <c r="AD98" s="124"/>
      <c r="AE98" s="127"/>
    </row>
    <row r="99" spans="1:31" outlineLevel="2" x14ac:dyDescent="0.3">
      <c r="B99" s="137"/>
      <c r="C99" s="137"/>
      <c r="D99" s="137"/>
      <c r="E99" s="137"/>
      <c r="F99" s="137"/>
      <c r="G99" s="137"/>
      <c r="H99" s="137"/>
      <c r="I99" s="137"/>
      <c r="J99" s="137"/>
      <c r="K99" s="137"/>
      <c r="L99" s="137"/>
      <c r="M99" s="141"/>
      <c r="N99" s="141"/>
      <c r="O99" s="141"/>
      <c r="P99" s="141"/>
      <c r="Q99" s="141"/>
      <c r="R99" s="124"/>
      <c r="S99" s="124"/>
      <c r="T99" s="124"/>
      <c r="U99" s="124"/>
      <c r="V99" s="124"/>
      <c r="W99" s="125"/>
      <c r="X99" s="126"/>
      <c r="Y99" s="126"/>
      <c r="Z99" s="124"/>
      <c r="AA99" s="124"/>
      <c r="AB99" s="124"/>
      <c r="AC99" s="124"/>
      <c r="AD99" s="124"/>
      <c r="AE99" s="127"/>
    </row>
    <row r="100" spans="1:31" outlineLevel="2" x14ac:dyDescent="0.3">
      <c r="A100" s="79" t="s">
        <v>108</v>
      </c>
      <c r="B100" s="141">
        <f t="shared" ref="B100:Q100" si="58">SUM(B61,B71,B79,B87)</f>
        <v>113.32499799999999</v>
      </c>
      <c r="C100" s="141">
        <f t="shared" si="58"/>
        <v>131.02600000000001</v>
      </c>
      <c r="D100" s="141">
        <f t="shared" si="58"/>
        <v>154.69300199999998</v>
      </c>
      <c r="E100" s="141">
        <f t="shared" si="58"/>
        <v>169.00399899999999</v>
      </c>
      <c r="F100" s="141">
        <f t="shared" si="58"/>
        <v>206.11899900000003</v>
      </c>
      <c r="G100" s="141">
        <f t="shared" si="58"/>
        <v>242.47899699999999</v>
      </c>
      <c r="H100" s="141">
        <f t="shared" si="58"/>
        <v>186.29900500000002</v>
      </c>
      <c r="I100" s="141">
        <f t="shared" si="58"/>
        <v>193.32300199999997</v>
      </c>
      <c r="J100" s="141">
        <f t="shared" si="58"/>
        <v>261.52399500000001</v>
      </c>
      <c r="K100" s="141">
        <f t="shared" si="58"/>
        <v>388.52499699999993</v>
      </c>
      <c r="L100" s="141">
        <f t="shared" si="58"/>
        <v>557.93101200000001</v>
      </c>
      <c r="M100" s="141">
        <f t="shared" si="58"/>
        <v>497.23652247078695</v>
      </c>
      <c r="N100" s="141">
        <f>SUM(N61,N71,N79,N87)</f>
        <v>563.2404626534402</v>
      </c>
      <c r="O100" s="141">
        <f t="shared" si="58"/>
        <v>617.71248268646411</v>
      </c>
      <c r="P100" s="141">
        <f t="shared" si="58"/>
        <v>610.97766646039224</v>
      </c>
      <c r="Q100" s="141">
        <f t="shared" si="58"/>
        <v>672.07543310643132</v>
      </c>
      <c r="R100" s="124"/>
      <c r="S100" s="124"/>
      <c r="T100" s="124"/>
      <c r="U100" s="124"/>
      <c r="V100" s="124"/>
      <c r="W100" s="125"/>
      <c r="X100" s="126"/>
      <c r="Y100" s="126"/>
      <c r="Z100" s="124"/>
      <c r="AA100" s="124"/>
      <c r="AB100" s="124"/>
      <c r="AC100" s="124"/>
      <c r="AD100" s="124"/>
      <c r="AE100" s="127"/>
    </row>
    <row r="101" spans="1:31" outlineLevel="2" x14ac:dyDescent="0.3">
      <c r="A101" s="118"/>
      <c r="B101" s="141"/>
      <c r="C101" s="141"/>
      <c r="D101" s="141"/>
      <c r="E101" s="207"/>
      <c r="F101" s="141"/>
      <c r="G101" s="141"/>
      <c r="H101" s="141"/>
      <c r="I101" s="141"/>
      <c r="J101" s="141"/>
      <c r="K101" s="141"/>
      <c r="L101" s="141"/>
      <c r="M101" s="141"/>
      <c r="N101" s="141"/>
      <c r="O101" s="141"/>
      <c r="P101" s="141"/>
      <c r="Q101" s="141"/>
      <c r="R101" s="124"/>
      <c r="S101" s="124"/>
      <c r="T101" s="124"/>
      <c r="U101" s="124"/>
      <c r="V101" s="124"/>
      <c r="W101" s="125"/>
      <c r="X101" s="126"/>
      <c r="Y101" s="126"/>
      <c r="Z101" s="124"/>
      <c r="AA101" s="124"/>
      <c r="AB101" s="124"/>
      <c r="AC101" s="124"/>
      <c r="AD101" s="124"/>
      <c r="AE101" s="127"/>
    </row>
    <row r="102" spans="1:31" outlineLevel="2" x14ac:dyDescent="0.3">
      <c r="A102" s="79" t="str">
        <f>"Reconcile "&amp;A105&amp;" with"&amp;" above"</f>
        <v>Reconcile Total Expenses (Historical are Broker Actual) with above</v>
      </c>
      <c r="B102" s="136"/>
      <c r="C102" s="136" t="e">
        <f t="shared" ref="C102:L102" si="59">C105-C100</f>
        <v>#VALUE!</v>
      </c>
      <c r="D102" s="136">
        <f t="shared" si="59"/>
        <v>51.814998000000031</v>
      </c>
      <c r="E102" s="136">
        <f t="shared" si="59"/>
        <v>47.648000999999994</v>
      </c>
      <c r="F102" s="136">
        <f t="shared" si="59"/>
        <v>33.027000999999984</v>
      </c>
      <c r="G102" s="136">
        <f t="shared" si="59"/>
        <v>5.627003000000002</v>
      </c>
      <c r="H102" s="136">
        <f t="shared" si="59"/>
        <v>11.392994999999985</v>
      </c>
      <c r="I102" s="136">
        <f t="shared" si="59"/>
        <v>27.350998000000004</v>
      </c>
      <c r="J102" s="136">
        <f t="shared" si="59"/>
        <v>20.313004999999976</v>
      </c>
      <c r="K102" s="136">
        <f t="shared" si="59"/>
        <v>16.990003000000115</v>
      </c>
      <c r="L102" s="136">
        <f t="shared" si="59"/>
        <v>-5.8680120000000215</v>
      </c>
      <c r="M102" s="144">
        <v>0</v>
      </c>
      <c r="N102" s="144">
        <f t="shared" ref="N102:Q102" si="60">M102</f>
        <v>0</v>
      </c>
      <c r="O102" s="144">
        <f t="shared" si="60"/>
        <v>0</v>
      </c>
      <c r="P102" s="144">
        <f t="shared" si="60"/>
        <v>0</v>
      </c>
      <c r="Q102" s="144">
        <f t="shared" si="60"/>
        <v>0</v>
      </c>
      <c r="R102" s="121"/>
      <c r="S102" s="121"/>
      <c r="T102" s="121"/>
      <c r="U102" s="121"/>
      <c r="V102" s="121"/>
      <c r="AC102" s="76"/>
    </row>
    <row r="103" spans="1:31" outlineLevel="2" collapsed="1" x14ac:dyDescent="0.3">
      <c r="A103" s="129" t="s">
        <v>87</v>
      </c>
      <c r="C103" s="130"/>
      <c r="D103" s="130" t="e">
        <f t="shared" ref="D103:L103" si="61">D102/C102-1</f>
        <v>#VALUE!</v>
      </c>
      <c r="E103" s="130">
        <f t="shared" si="61"/>
        <v>-8.0420672794391246E-2</v>
      </c>
      <c r="F103" s="130">
        <f t="shared" si="61"/>
        <v>-0.30685442606500979</v>
      </c>
      <c r="G103" s="130">
        <f t="shared" si="61"/>
        <v>-0.82962416115226434</v>
      </c>
      <c r="H103" s="130">
        <f t="shared" si="61"/>
        <v>1.0247003600317934</v>
      </c>
      <c r="I103" s="130">
        <f t="shared" si="61"/>
        <v>1.4006855089465096</v>
      </c>
      <c r="J103" s="130">
        <f t="shared" si="61"/>
        <v>-0.25732125021544106</v>
      </c>
      <c r="K103" s="130">
        <f t="shared" si="61"/>
        <v>-0.16358987751934606</v>
      </c>
      <c r="L103" s="130">
        <f t="shared" si="61"/>
        <v>-1.3453802803919448</v>
      </c>
      <c r="M103" s="130">
        <f>IFERROR(M102/L102-1,"")</f>
        <v>-1</v>
      </c>
      <c r="N103" s="130" t="str">
        <f t="shared" ref="N103:Q103" si="62">IFERROR(N102/M102-1,"")</f>
        <v/>
      </c>
      <c r="O103" s="130" t="str">
        <f t="shared" si="62"/>
        <v/>
      </c>
      <c r="P103" s="130" t="str">
        <f t="shared" si="62"/>
        <v/>
      </c>
      <c r="Q103" s="130" t="str">
        <f t="shared" si="62"/>
        <v/>
      </c>
      <c r="R103" s="124"/>
      <c r="S103" s="124"/>
      <c r="T103" s="124"/>
      <c r="U103" s="124"/>
      <c r="V103" s="124"/>
      <c r="W103" s="125"/>
      <c r="X103" s="126"/>
      <c r="Y103" s="126"/>
      <c r="Z103" s="124"/>
      <c r="AA103" s="124"/>
      <c r="AB103" s="124"/>
      <c r="AC103" s="124"/>
      <c r="AD103" s="124"/>
      <c r="AE103" s="127"/>
    </row>
    <row r="104" spans="1:31" outlineLevel="1" x14ac:dyDescent="0.3">
      <c r="A104" s="131"/>
      <c r="B104" s="132"/>
      <c r="C104" s="132"/>
      <c r="D104" s="132"/>
      <c r="E104" s="132"/>
      <c r="F104" s="132"/>
      <c r="G104" s="132"/>
      <c r="H104" s="132"/>
      <c r="I104" s="132"/>
      <c r="J104" s="132"/>
      <c r="K104" s="132"/>
      <c r="L104" s="132"/>
      <c r="M104" s="121"/>
      <c r="N104" s="121"/>
      <c r="O104" s="121"/>
      <c r="P104" s="121"/>
      <c r="Q104" s="121"/>
      <c r="R104" s="121"/>
      <c r="S104" s="121"/>
      <c r="T104" s="121"/>
      <c r="U104" s="121"/>
      <c r="V104" s="121"/>
      <c r="AC104" s="76"/>
    </row>
    <row r="105" spans="1:31" outlineLevel="1" x14ac:dyDescent="0.3">
      <c r="A105" s="118" t="str">
        <f>"Total Expenses (Historical are "&amp;B2&amp;")"</f>
        <v>Total Expenses (Historical are Broker Actual)</v>
      </c>
      <c r="B105" s="140" t="e">
        <f t="shared" ref="B105:L105" si="63">B57-B107</f>
        <v>#VALUE!</v>
      </c>
      <c r="C105" s="140" t="e">
        <f t="shared" si="63"/>
        <v>#VALUE!</v>
      </c>
      <c r="D105" s="140">
        <f t="shared" si="63"/>
        <v>206.50800000000001</v>
      </c>
      <c r="E105" s="140">
        <f t="shared" si="63"/>
        <v>216.65199999999999</v>
      </c>
      <c r="F105" s="140">
        <f t="shared" si="63"/>
        <v>239.14600000000002</v>
      </c>
      <c r="G105" s="140">
        <f t="shared" si="63"/>
        <v>248.10599999999999</v>
      </c>
      <c r="H105" s="140">
        <f t="shared" si="63"/>
        <v>197.69200000000001</v>
      </c>
      <c r="I105" s="140">
        <f t="shared" si="63"/>
        <v>220.67399999999998</v>
      </c>
      <c r="J105" s="140">
        <f t="shared" si="63"/>
        <v>281.83699999999999</v>
      </c>
      <c r="K105" s="140">
        <f t="shared" si="63"/>
        <v>405.51500000000004</v>
      </c>
      <c r="L105" s="140">
        <f t="shared" si="63"/>
        <v>552.06299999999999</v>
      </c>
      <c r="M105" s="141">
        <f>M100+M102</f>
        <v>497.23652247078695</v>
      </c>
      <c r="N105" s="141">
        <f t="shared" ref="N105:Q105" si="64">N100+N102</f>
        <v>563.2404626534402</v>
      </c>
      <c r="O105" s="141">
        <f t="shared" si="64"/>
        <v>617.71248268646411</v>
      </c>
      <c r="P105" s="141">
        <f t="shared" si="64"/>
        <v>610.97766646039224</v>
      </c>
      <c r="Q105" s="141">
        <f t="shared" si="64"/>
        <v>672.07543310643132</v>
      </c>
      <c r="R105" s="124"/>
      <c r="S105" s="124"/>
      <c r="T105" s="124"/>
      <c r="U105" s="124"/>
      <c r="V105" s="124"/>
      <c r="W105" s="125"/>
      <c r="X105" s="126"/>
      <c r="Y105" s="126"/>
      <c r="Z105" s="124"/>
      <c r="AA105" s="124"/>
      <c r="AB105" s="124"/>
      <c r="AC105" s="124"/>
      <c r="AD105" s="124"/>
      <c r="AE105" s="127"/>
    </row>
    <row r="106" spans="1:31" outlineLevel="1" x14ac:dyDescent="0.3">
      <c r="B106" s="124"/>
      <c r="C106" s="124"/>
      <c r="D106" s="124"/>
      <c r="E106" s="124"/>
      <c r="F106" s="124"/>
      <c r="G106" s="124"/>
      <c r="H106" s="124"/>
      <c r="I106" s="124"/>
      <c r="J106" s="124"/>
      <c r="K106" s="124"/>
      <c r="L106" s="124"/>
      <c r="M106" s="216"/>
      <c r="N106" s="216"/>
      <c r="O106" s="216"/>
      <c r="P106" s="141"/>
      <c r="Q106" s="141"/>
      <c r="R106" s="124"/>
      <c r="S106" s="124"/>
      <c r="T106" s="124"/>
      <c r="U106" s="124"/>
      <c r="V106" s="124"/>
      <c r="W106" s="125"/>
      <c r="X106" s="126"/>
      <c r="Y106" s="126"/>
      <c r="Z106" s="124"/>
      <c r="AA106" s="124"/>
      <c r="AB106" s="124"/>
      <c r="AC106" s="124"/>
      <c r="AD106" s="124"/>
      <c r="AE106" s="127"/>
    </row>
    <row r="107" spans="1:31" outlineLevel="1" x14ac:dyDescent="0.3">
      <c r="A107" s="118" t="s">
        <v>109</v>
      </c>
      <c r="B107" s="140" t="str">
        <f>CHOOSE(IF($B$1=2,2,1),'GAAP-IFRS'!E15,IF('Broker Actual'!E15="-",'GAAP-IFRS'!E15,'Broker Actual'!E15))</f>
        <v/>
      </c>
      <c r="C107" s="140" t="str">
        <f>CHOOSE(IF($B$1=2,2,1),'GAAP-IFRS'!F15,IF('Broker Actual'!F15="-",'GAAP-IFRS'!F15,'Broker Actual'!F15))</f>
        <v/>
      </c>
      <c r="D107" s="140">
        <f>CHOOSE(IF($B$1=2,2,1),'GAAP-IFRS'!G15,IF('Broker Actual'!G15="-",'GAAP-IFRS'!G15,'Broker Actual'!G15))</f>
        <v>59.6</v>
      </c>
      <c r="E107" s="140">
        <f>CHOOSE(IF($B$1=2,2,1),'GAAP-IFRS'!H15,IF('Broker Actual'!H15="-",'GAAP-IFRS'!H15,'Broker Actual'!H15))</f>
        <v>69.3</v>
      </c>
      <c r="F107" s="140">
        <f>CHOOSE(IF($B$1=2,2,1),'GAAP-IFRS'!I15,IF('Broker Actual'!I15="-",'GAAP-IFRS'!I15,'Broker Actual'!I15))</f>
        <v>25.3</v>
      </c>
      <c r="G107" s="140">
        <f>CHOOSE(IF($B$1=2,2,1),'GAAP-IFRS'!J15,IF('Broker Actual'!J15="-",'GAAP-IFRS'!J15,'Broker Actual'!J15))</f>
        <v>-3.7</v>
      </c>
      <c r="H107" s="140">
        <f>CHOOSE(IF($B$1=2,2,1),'GAAP-IFRS'!K15,IF('Broker Actual'!K15="-",'GAAP-IFRS'!K15,'Broker Actual'!K15))</f>
        <v>33.6</v>
      </c>
      <c r="I107" s="140">
        <f>CHOOSE(IF($B$1=2,2,1),'GAAP-IFRS'!L15,IF('Broker Actual'!L15="-",'GAAP-IFRS'!L15,'Broker Actual'!L15))</f>
        <v>21.8</v>
      </c>
      <c r="J107" s="140">
        <f>CHOOSE(IF($B$1=2,2,1),'GAAP-IFRS'!M15,IF('Broker Actual'!M15="-",'GAAP-IFRS'!M15,'Broker Actual'!M15))</f>
        <v>28.6</v>
      </c>
      <c r="K107" s="140">
        <f>CHOOSE(IF($B$1=2,2,1),'GAAP-IFRS'!N15,IF('Broker Actual'!N15="-",'GAAP-IFRS'!N15,'Broker Actual'!N15))</f>
        <v>2.4</v>
      </c>
      <c r="L107" s="140">
        <f>CHOOSE(IF($B$1=2,2,1),'GAAP-IFRS'!O15,IF('Broker Actual'!O15="-",'GAAP-IFRS'!O15,'Broker Actual'!O15))</f>
        <v>-52.5</v>
      </c>
      <c r="M107" s="141">
        <f>M57-M105</f>
        <v>52.522841529213053</v>
      </c>
      <c r="N107" s="141">
        <f>N57-N105</f>
        <v>33.582977746559891</v>
      </c>
      <c r="O107" s="141">
        <f>O57-O105</f>
        <v>33.452796253536007</v>
      </c>
      <c r="P107" s="141">
        <f>P57-P105</f>
        <v>93.002413342607838</v>
      </c>
      <c r="Q107" s="141">
        <f>Q57-Q105</f>
        <v>100.52693659811882</v>
      </c>
      <c r="R107" s="124"/>
      <c r="S107" s="124"/>
      <c r="T107" s="124"/>
      <c r="U107" s="124"/>
      <c r="V107" s="124"/>
      <c r="W107" s="125"/>
      <c r="X107" s="126" t="s">
        <v>91</v>
      </c>
      <c r="Y107" s="126" t="s">
        <v>110</v>
      </c>
      <c r="Z107" s="124" cm="1">
        <f t="array" ref="Z107">_xll.FDSC("--",$A$1,""&amp;$X107&amp;"("&amp;$Y107&amp;","&amp;D$2&amp;",ANNUAL_ROLL,+1,0,,,'CURRENCY="&amp;$E$1&amp;"')")</f>
        <v>49.2</v>
      </c>
      <c r="AA107" s="124" cm="1">
        <f t="array" ref="AA107">_xll.FDSC("--",$A$1,""&amp;$X107&amp;"("&amp;$Y107&amp;","&amp;D$2&amp;",ANNUAL_ROLL,+2,0,,,'CURRENCY="&amp;$E$1&amp;"')")</f>
        <v>89.1</v>
      </c>
      <c r="AB107" s="124" t="str" cm="1">
        <f t="array" ref="AB107">_xll.FDSC("--",$A$1,""&amp;$X107&amp;"("&amp;$Y107&amp;","&amp;D$2&amp;",ANNUAL_ROLL,+3,0,,,'CURRENCY="&amp;$E$1&amp;"')")</f>
        <v>--</v>
      </c>
      <c r="AC107" s="124"/>
      <c r="AD107" s="124"/>
      <c r="AE107" s="127"/>
    </row>
    <row r="108" spans="1:31" outlineLevel="1" collapsed="1" x14ac:dyDescent="0.3">
      <c r="A108" s="129" t="s">
        <v>87</v>
      </c>
      <c r="B108" s="124"/>
      <c r="C108" s="130" t="e">
        <f t="shared" ref="C108:Q108" si="65">C107/B107-1</f>
        <v>#VALUE!</v>
      </c>
      <c r="D108" s="130" t="e">
        <f t="shared" si="65"/>
        <v>#VALUE!</v>
      </c>
      <c r="E108" s="130">
        <f t="shared" si="65"/>
        <v>0.16275167785234901</v>
      </c>
      <c r="F108" s="130">
        <f t="shared" si="65"/>
        <v>-0.63492063492063489</v>
      </c>
      <c r="G108" s="130">
        <f t="shared" si="65"/>
        <v>-1.1462450592885376</v>
      </c>
      <c r="H108" s="130">
        <f t="shared" si="65"/>
        <v>-10.081081081081081</v>
      </c>
      <c r="I108" s="130">
        <f t="shared" si="65"/>
        <v>-0.35119047619047616</v>
      </c>
      <c r="J108" s="130">
        <f t="shared" si="65"/>
        <v>0.31192660550458728</v>
      </c>
      <c r="K108" s="130">
        <f t="shared" si="65"/>
        <v>-0.91608391608391604</v>
      </c>
      <c r="L108" s="130">
        <f t="shared" si="65"/>
        <v>-22.875</v>
      </c>
      <c r="M108" s="130">
        <f t="shared" si="65"/>
        <v>-2.000435076746915</v>
      </c>
      <c r="N108" s="130">
        <f t="shared" si="65"/>
        <v>-0.36060242041776935</v>
      </c>
      <c r="O108" s="130">
        <f t="shared" si="65"/>
        <v>-3.8764130449158163E-3</v>
      </c>
      <c r="P108" s="130">
        <f t="shared" si="65"/>
        <v>1.780108802796339</v>
      </c>
      <c r="Q108" s="130">
        <f t="shared" si="65"/>
        <v>8.0906752685994343E-2</v>
      </c>
      <c r="R108" s="124"/>
      <c r="S108" s="124"/>
      <c r="T108" s="124"/>
      <c r="U108" s="124"/>
      <c r="V108" s="124"/>
      <c r="W108" s="125"/>
      <c r="X108" s="126"/>
      <c r="Y108" s="126"/>
      <c r="Z108" s="124"/>
      <c r="AA108" s="124"/>
      <c r="AB108" s="124"/>
      <c r="AC108" s="124"/>
      <c r="AD108" s="124"/>
      <c r="AE108" s="127"/>
    </row>
    <row r="109" spans="1:31" s="118" customFormat="1" outlineLevel="1" x14ac:dyDescent="0.3">
      <c r="A109" s="118" t="s">
        <v>111</v>
      </c>
      <c r="B109" s="217" t="e">
        <f t="shared" ref="B109:Q109" si="66">B107/B57</f>
        <v>#VALUE!</v>
      </c>
      <c r="C109" s="217" t="e">
        <f t="shared" si="66"/>
        <v>#VALUE!</v>
      </c>
      <c r="D109" s="217">
        <f t="shared" si="66"/>
        <v>0.2239692155064861</v>
      </c>
      <c r="E109" s="217">
        <f t="shared" si="66"/>
        <v>0.2423483661593554</v>
      </c>
      <c r="F109" s="217">
        <f t="shared" si="66"/>
        <v>9.5671706132821055E-2</v>
      </c>
      <c r="G109" s="217">
        <f t="shared" si="66"/>
        <v>-1.5138744548006186E-2</v>
      </c>
      <c r="H109" s="217">
        <f t="shared" si="66"/>
        <v>0.14527091295851133</v>
      </c>
      <c r="I109" s="217">
        <f t="shared" si="66"/>
        <v>8.9906546681293678E-2</v>
      </c>
      <c r="J109" s="217">
        <f t="shared" si="66"/>
        <v>9.2128193482091378E-2</v>
      </c>
      <c r="K109" s="217">
        <f t="shared" si="66"/>
        <v>5.8835786867362065E-3</v>
      </c>
      <c r="L109" s="217">
        <f t="shared" si="66"/>
        <v>-0.10509185027714223</v>
      </c>
      <c r="M109" s="217">
        <f t="shared" si="66"/>
        <v>9.5537875238834585E-2</v>
      </c>
      <c r="N109" s="217">
        <f t="shared" si="66"/>
        <v>5.6269535466053532E-2</v>
      </c>
      <c r="O109" s="217">
        <f t="shared" si="66"/>
        <v>5.1373740792801742E-2</v>
      </c>
      <c r="P109" s="217">
        <f t="shared" si="66"/>
        <v>0.13210943890434143</v>
      </c>
      <c r="Q109" s="217">
        <f t="shared" si="66"/>
        <v>0.1301147142954806</v>
      </c>
      <c r="R109" s="157"/>
      <c r="S109" s="157"/>
      <c r="T109" s="157"/>
      <c r="U109" s="157"/>
      <c r="V109" s="157"/>
      <c r="W109" s="158"/>
      <c r="X109" s="159"/>
      <c r="Y109" s="159"/>
      <c r="Z109" s="157"/>
      <c r="AA109" s="157"/>
      <c r="AB109" s="157"/>
      <c r="AC109" s="157"/>
      <c r="AD109" s="157"/>
      <c r="AE109" s="160"/>
    </row>
    <row r="110" spans="1:31" outlineLevel="1" x14ac:dyDescent="0.3">
      <c r="A110" s="129" t="s">
        <v>112</v>
      </c>
      <c r="B110" s="124"/>
      <c r="C110" s="145" t="e">
        <f>(C109-B109)*100</f>
        <v>#VALUE!</v>
      </c>
      <c r="D110" s="145" t="e">
        <f t="shared" ref="D110:Q110" si="67">(D109-C109)*100</f>
        <v>#VALUE!</v>
      </c>
      <c r="E110" s="145">
        <f>(E109-D109)*100</f>
        <v>1.8379150652869298</v>
      </c>
      <c r="F110" s="145">
        <f t="shared" si="67"/>
        <v>-14.667666002653434</v>
      </c>
      <c r="G110" s="145">
        <f t="shared" si="67"/>
        <v>-11.081045068082725</v>
      </c>
      <c r="H110" s="145">
        <f t="shared" si="67"/>
        <v>16.04096575065175</v>
      </c>
      <c r="I110" s="145">
        <f t="shared" si="67"/>
        <v>-5.5364366277217654</v>
      </c>
      <c r="J110" s="145">
        <f t="shared" si="67"/>
        <v>0.22216468007976997</v>
      </c>
      <c r="K110" s="145">
        <f t="shared" si="67"/>
        <v>-8.6244614795355172</v>
      </c>
      <c r="L110" s="145">
        <f t="shared" si="67"/>
        <v>-11.097542896387843</v>
      </c>
      <c r="M110" s="145">
        <f t="shared" si="67"/>
        <v>20.062972551597682</v>
      </c>
      <c r="N110" s="145">
        <f t="shared" si="67"/>
        <v>-3.9268339772781053</v>
      </c>
      <c r="O110" s="145">
        <f t="shared" si="67"/>
        <v>-0.48957946732517899</v>
      </c>
      <c r="P110" s="145">
        <f t="shared" si="67"/>
        <v>8.0735698111539698</v>
      </c>
      <c r="Q110" s="145">
        <f t="shared" si="67"/>
        <v>-0.19947246088608261</v>
      </c>
      <c r="R110" s="124"/>
      <c r="S110" s="124"/>
      <c r="T110" s="124"/>
      <c r="U110" s="124"/>
      <c r="V110" s="124"/>
      <c r="W110" s="125"/>
      <c r="X110" s="126"/>
      <c r="Y110" s="126"/>
      <c r="Z110" s="124"/>
      <c r="AA110" s="124"/>
      <c r="AB110" s="124"/>
      <c r="AC110" s="124"/>
      <c r="AD110" s="124"/>
      <c r="AE110" s="127"/>
    </row>
    <row r="111" spans="1:31" outlineLevel="1" x14ac:dyDescent="0.3">
      <c r="A111" s="129"/>
      <c r="B111" s="124"/>
      <c r="C111" s="146"/>
      <c r="D111" s="146"/>
      <c r="E111" s="146"/>
      <c r="F111" s="146"/>
      <c r="G111" s="146"/>
      <c r="H111" s="146"/>
      <c r="I111" s="146"/>
      <c r="J111" s="146"/>
      <c r="K111" s="146"/>
      <c r="L111" s="146"/>
      <c r="M111" s="147"/>
      <c r="N111" s="147"/>
      <c r="O111" s="147"/>
      <c r="P111" s="147"/>
      <c r="Q111" s="147"/>
      <c r="R111" s="124"/>
      <c r="S111" s="124"/>
      <c r="T111" s="124"/>
      <c r="U111" s="124"/>
      <c r="V111" s="124"/>
      <c r="W111" s="125"/>
      <c r="X111" s="126"/>
      <c r="Y111" s="126"/>
      <c r="Z111" s="124"/>
      <c r="AA111" s="124"/>
      <c r="AB111" s="124"/>
      <c r="AC111" s="124"/>
      <c r="AD111" s="124"/>
      <c r="AE111" s="127"/>
    </row>
    <row r="112" spans="1:31" outlineLevel="1" x14ac:dyDescent="0.3">
      <c r="A112" s="79" t="s">
        <v>113</v>
      </c>
      <c r="B112" s="124"/>
      <c r="C112" s="130">
        <f t="shared" ref="C112:L112" si="68">C114/(SUM(B167,C167,B168,C168)/2)</f>
        <v>5.6778432546560363E-2</v>
      </c>
      <c r="D112" s="130">
        <f t="shared" si="68"/>
        <v>8.2691896937718043E-2</v>
      </c>
      <c r="E112" s="130">
        <f t="shared" si="68"/>
        <v>8.4241035583494897E-2</v>
      </c>
      <c r="F112" s="130">
        <f t="shared" si="68"/>
        <v>8.2589119317758253E-2</v>
      </c>
      <c r="G112" s="130">
        <f t="shared" si="68"/>
        <v>8.902091330455697E-2</v>
      </c>
      <c r="H112" s="130">
        <f t="shared" si="68"/>
        <v>7.146326219043618E-2</v>
      </c>
      <c r="I112" s="130">
        <f t="shared" si="68"/>
        <v>6.1639065616921819E-2</v>
      </c>
      <c r="J112" s="130">
        <f t="shared" si="68"/>
        <v>6.5604383316560447E-2</v>
      </c>
      <c r="K112" s="130">
        <f t="shared" si="68"/>
        <v>5.1825639115401126E-2</v>
      </c>
      <c r="L112" s="130">
        <f t="shared" si="68"/>
        <v>5.6470930338222196E-2</v>
      </c>
      <c r="M112" s="123">
        <v>0.06</v>
      </c>
      <c r="N112" s="123">
        <v>0.06</v>
      </c>
      <c r="O112" s="123">
        <v>0.06</v>
      </c>
      <c r="P112" s="123">
        <v>0.04</v>
      </c>
      <c r="Q112" s="123">
        <f t="shared" ref="Q112" si="69">P112</f>
        <v>0.04</v>
      </c>
      <c r="R112" s="124"/>
      <c r="S112" s="124"/>
      <c r="T112" s="124"/>
      <c r="U112" s="124"/>
      <c r="V112" s="124"/>
      <c r="W112" s="125"/>
      <c r="X112" s="126"/>
      <c r="Y112" s="126"/>
      <c r="Z112" s="124"/>
      <c r="AA112" s="124"/>
      <c r="AB112" s="124"/>
      <c r="AC112" s="121"/>
      <c r="AD112" s="124"/>
      <c r="AE112" s="127"/>
    </row>
    <row r="113" spans="1:32" s="104" customFormat="1" outlineLevel="1" x14ac:dyDescent="0.3">
      <c r="A113" s="104" t="s">
        <v>114</v>
      </c>
      <c r="B113" s="225"/>
      <c r="C113" s="225"/>
      <c r="D113" s="225"/>
      <c r="E113" s="225"/>
      <c r="F113" s="225"/>
      <c r="G113" s="225"/>
      <c r="H113" s="225"/>
      <c r="I113" s="225"/>
      <c r="J113" s="225"/>
      <c r="K113" s="225"/>
      <c r="L113" s="225"/>
      <c r="M113" s="233">
        <f>M112*(SUM(L167,M167,L168,M168)/2)</f>
        <v>12.180935433644523</v>
      </c>
      <c r="N113" s="233">
        <f>N112*(SUM(M167,N167,M168,N168)/2)</f>
        <v>11.588892805436224</v>
      </c>
      <c r="O113" s="233">
        <f>O112*(SUM(N167,O167,N168,O168)/2)</f>
        <v>11.593388504666819</v>
      </c>
      <c r="P113" s="233">
        <f>P112*(SUM(O167,P167,O168,P168)/2)</f>
        <v>8.284863666597035</v>
      </c>
      <c r="Q113" s="233">
        <f>Q112*(SUM(P167,Q167,P168,Q168)/2)</f>
        <v>9.3363385294110941</v>
      </c>
      <c r="R113" s="225"/>
      <c r="S113" s="225"/>
      <c r="T113" s="225"/>
      <c r="U113" s="225"/>
      <c r="V113" s="225"/>
      <c r="W113" s="227"/>
      <c r="X113" s="228"/>
      <c r="Y113" s="228"/>
      <c r="Z113" s="225"/>
      <c r="AA113" s="225"/>
      <c r="AB113" s="225"/>
      <c r="AC113" s="229"/>
      <c r="AD113" s="225"/>
      <c r="AE113" s="230"/>
    </row>
    <row r="114" spans="1:32" outlineLevel="1" x14ac:dyDescent="0.3">
      <c r="A114" s="79" t="s">
        <v>115</v>
      </c>
      <c r="B114" s="140">
        <f>CHOOSE(IF($B$1=2,2,1),'GAAP-IFRS'!E16,IF('Broker Actual'!E16="-",'GAAP-IFRS'!E16,'Broker Actual'!E16))</f>
        <v>0</v>
      </c>
      <c r="C114" s="140">
        <f>CHOOSE(IF($B$1=2,2,1),'GAAP-IFRS'!F16,IF('Broker Actual'!F16="-",'GAAP-IFRS'!F16,'Broker Actual'!F16))</f>
        <v>3.6034999999999999</v>
      </c>
      <c r="D114" s="140">
        <f>CHOOSE(IF($B$1=2,2,1),'GAAP-IFRS'!G16,IF('Broker Actual'!G16="-",'GAAP-IFRS'!G16,'Broker Actual'!G16))</f>
        <v>10.452999999999999</v>
      </c>
      <c r="E114" s="140">
        <f>CHOOSE(IF($B$1=2,2,1),'GAAP-IFRS'!H16,IF('Broker Actual'!H16="-",'GAAP-IFRS'!H16,'Broker Actual'!H16))</f>
        <v>10.754</v>
      </c>
      <c r="F114" s="140">
        <f>CHOOSE(IF($B$1=2,2,1),'GAAP-IFRS'!I16,IF('Broker Actual'!I16="-",'GAAP-IFRS'!I16,'Broker Actual'!I16))</f>
        <v>11.079000000000001</v>
      </c>
      <c r="G114" s="140">
        <f>CHOOSE(IF($B$1=2,2,1),'GAAP-IFRS'!J16,IF('Broker Actual'!J16="-",'GAAP-IFRS'!J16,'Broker Actual'!J16))</f>
        <v>16.766999999999999</v>
      </c>
      <c r="H114" s="140">
        <f>CHOOSE(IF($B$1=2,2,1),'GAAP-IFRS'!K16,IF('Broker Actual'!K16="-",'GAAP-IFRS'!K16,'Broker Actual'!K16))</f>
        <v>17.436499999999999</v>
      </c>
      <c r="I114" s="140">
        <f>CHOOSE(IF($B$1=2,2,1),'GAAP-IFRS'!L16,IF('Broker Actual'!L16="-",'GAAP-IFRS'!L16,'Broker Actual'!L16))</f>
        <v>13.055</v>
      </c>
      <c r="J114" s="140">
        <f>CHOOSE(IF($B$1=2,2,1),'GAAP-IFRS'!M16,IF('Broker Actual'!M16="-",'GAAP-IFRS'!M16,'Broker Actual'!M16))</f>
        <v>11.734</v>
      </c>
      <c r="K114" s="140">
        <f>CHOOSE(IF($B$1=2,2,1),'GAAP-IFRS'!N16,IF('Broker Actual'!N16="-",'GAAP-IFRS'!N16,'Broker Actual'!N16))</f>
        <v>6.4</v>
      </c>
      <c r="L114" s="140">
        <f>CHOOSE(IF($B$1=2,2,1),'GAAP-IFRS'!O16,IF('Broker Actual'!O16="-",'GAAP-IFRS'!O16,'Broker Actual'!O16))</f>
        <v>7.7679999999999998</v>
      </c>
      <c r="M114" s="148">
        <v>12</v>
      </c>
      <c r="N114" s="148">
        <v>12</v>
      </c>
      <c r="O114" s="148">
        <v>11</v>
      </c>
      <c r="P114" s="148">
        <v>21</v>
      </c>
      <c r="Q114" s="148">
        <v>21</v>
      </c>
      <c r="R114" s="124"/>
      <c r="S114" s="124"/>
      <c r="T114" s="124"/>
      <c r="U114" s="124"/>
      <c r="V114" s="124"/>
      <c r="W114" s="125"/>
      <c r="X114" s="126" t="s">
        <v>91</v>
      </c>
      <c r="Y114" s="126" t="s">
        <v>116</v>
      </c>
      <c r="Z114" s="124" cm="1">
        <f t="array" ref="Z114">_xll.FDSC("--",$A$1,""&amp;$X114&amp;"("&amp;$Y114&amp;","&amp;D$2&amp;",ANNUAL_ROLL,+1,0,,,'CURRENCY="&amp;$E$1&amp;"')")</f>
        <v>10.802</v>
      </c>
      <c r="AA114" s="124" cm="1">
        <f t="array" ref="AA114">_xll.FDSC("--",$A$1,""&amp;$X114&amp;"("&amp;$Y114&amp;","&amp;D$2&amp;",ANNUAL_ROLL,+2,0,,,'CURRENCY="&amp;$E$1&amp;"')")</f>
        <v>10</v>
      </c>
      <c r="AB114" s="124" t="str" cm="1">
        <f t="array" ref="AB114">_xll.FDSC("--",$A$1,""&amp;$X114&amp;"("&amp;$Y114&amp;","&amp;D$2&amp;",ANNUAL_ROLL,+3,0,,,'CURRENCY="&amp;$E$1&amp;"')")</f>
        <v>--</v>
      </c>
      <c r="AC114" s="124"/>
      <c r="AD114" s="124"/>
      <c r="AE114" s="127"/>
    </row>
    <row r="115" spans="1:32" outlineLevel="1" x14ac:dyDescent="0.3">
      <c r="B115" s="124"/>
      <c r="C115" s="124"/>
      <c r="D115" s="124"/>
      <c r="E115" s="124"/>
      <c r="F115" s="124"/>
      <c r="G115" s="124"/>
      <c r="H115" s="124"/>
      <c r="I115" s="124"/>
      <c r="J115" s="124"/>
      <c r="K115" s="124"/>
      <c r="L115" s="124"/>
      <c r="M115" s="124"/>
      <c r="N115" s="124"/>
      <c r="O115" s="124"/>
      <c r="P115" s="124"/>
      <c r="Q115" s="124"/>
      <c r="R115" s="124"/>
      <c r="S115" s="124"/>
      <c r="T115" s="124"/>
      <c r="U115" s="124"/>
      <c r="V115" s="124"/>
      <c r="W115" s="125"/>
      <c r="X115" s="126"/>
      <c r="Y115" s="126"/>
      <c r="Z115" s="124"/>
      <c r="AA115" s="124"/>
      <c r="AB115" s="124"/>
      <c r="AC115" s="124"/>
      <c r="AD115" s="124"/>
      <c r="AE115" s="127"/>
    </row>
    <row r="116" spans="1:32" outlineLevel="1" x14ac:dyDescent="0.3">
      <c r="A116" s="41" t="s">
        <v>117</v>
      </c>
      <c r="B116" s="140">
        <f>CHOOSE(IF($B$1=2,2,1),'GAAP-IFRS'!E17,IF('Broker Actual'!E17="-",'GAAP-IFRS'!E17,'Broker Actual'!E17))</f>
        <v>0</v>
      </c>
      <c r="C116" s="140">
        <f>CHOOSE(IF($B$1=2,2,1),'GAAP-IFRS'!F17,IF('Broker Actual'!F17="-",'GAAP-IFRS'!F17,'Broker Actual'!F17))</f>
        <v>0</v>
      </c>
      <c r="D116" s="140">
        <f>CHOOSE(IF($B$1=2,2,1),'GAAP-IFRS'!G17,IF('Broker Actual'!G17="-",'GAAP-IFRS'!G17,'Broker Actual'!G17))</f>
        <v>0</v>
      </c>
      <c r="E116" s="140">
        <f>CHOOSE(IF($B$1=2,2,1),'GAAP-IFRS'!H17,IF('Broker Actual'!H17="-",'GAAP-IFRS'!H17,'Broker Actual'!H17))</f>
        <v>0</v>
      </c>
      <c r="F116" s="140">
        <f>CHOOSE(IF($B$1=2,2,1),'GAAP-IFRS'!I17,IF('Broker Actual'!I17="-",'GAAP-IFRS'!I17,'Broker Actual'!I17))</f>
        <v>0</v>
      </c>
      <c r="G116" s="140">
        <f>CHOOSE(IF($B$1=2,2,1),'GAAP-IFRS'!J17,IF('Broker Actual'!J17="-",'GAAP-IFRS'!J17,'Broker Actual'!J17))</f>
        <v>0</v>
      </c>
      <c r="H116" s="140">
        <f>CHOOSE(IF($B$1=2,2,1),'GAAP-IFRS'!K17,IF('Broker Actual'!K17="-",'GAAP-IFRS'!K17,'Broker Actual'!K17))</f>
        <v>0</v>
      </c>
      <c r="I116" s="140">
        <f>CHOOSE(IF($B$1=2,2,1),'GAAP-IFRS'!L17,IF('Broker Actual'!L17="-",'GAAP-IFRS'!L17,'Broker Actual'!L17))</f>
        <v>0</v>
      </c>
      <c r="J116" s="140">
        <f>CHOOSE(IF($B$1=2,2,1),'GAAP-IFRS'!M17,IF('Broker Actual'!M17="-",'GAAP-IFRS'!M17,'Broker Actual'!M17))</f>
        <v>0</v>
      </c>
      <c r="K116" s="140">
        <f>CHOOSE(IF($B$1=2,2,1),'GAAP-IFRS'!N17,IF('Broker Actual'!N17="-",'GAAP-IFRS'!N17,'Broker Actual'!N17))</f>
        <v>0</v>
      </c>
      <c r="L116" s="140">
        <f>CHOOSE(IF($B$1=2,2,1),'GAAP-IFRS'!O17,IF('Broker Actual'!O17="-",'GAAP-IFRS'!O17,'Broker Actual'!O17))</f>
        <v>0</v>
      </c>
      <c r="M116" s="148">
        <v>0</v>
      </c>
      <c r="N116" s="148">
        <v>0</v>
      </c>
      <c r="O116" s="148">
        <f t="shared" ref="N116:Q117" si="70">N116</f>
        <v>0</v>
      </c>
      <c r="P116" s="148">
        <f t="shared" si="70"/>
        <v>0</v>
      </c>
      <c r="Q116" s="148">
        <f t="shared" si="70"/>
        <v>0</v>
      </c>
      <c r="R116" s="124"/>
      <c r="S116" s="124"/>
      <c r="T116" s="124"/>
      <c r="U116" s="124"/>
      <c r="V116" s="124"/>
      <c r="W116" s="125"/>
      <c r="X116" s="126"/>
      <c r="Y116" s="126"/>
      <c r="Z116" s="124"/>
      <c r="AA116" s="124"/>
      <c r="AB116" s="124"/>
      <c r="AC116" s="121"/>
      <c r="AD116" s="124"/>
      <c r="AE116" s="127"/>
    </row>
    <row r="117" spans="1:32" outlineLevel="1" x14ac:dyDescent="0.3">
      <c r="A117" s="79" t="s">
        <v>118</v>
      </c>
      <c r="B117" s="140">
        <f>CHOOSE(IF($B$1=2,2,1),'GAAP-IFRS'!E18,IF('Broker Actual'!E18="-",'GAAP-IFRS'!E18,'Broker Actual'!E18))</f>
        <v>0.161</v>
      </c>
      <c r="C117" s="140">
        <f>CHOOSE(IF($B$1=2,2,1),'GAAP-IFRS'!F18,IF('Broker Actual'!F18="-",'GAAP-IFRS'!F18,'Broker Actual'!F18))</f>
        <v>0</v>
      </c>
      <c r="D117" s="140">
        <f>CHOOSE(IF($B$1=2,2,1),'GAAP-IFRS'!G18,IF('Broker Actual'!G18="-",'GAAP-IFRS'!G18,'Broker Actual'!G18))</f>
        <v>0.107</v>
      </c>
      <c r="E117" s="140">
        <f>CHOOSE(IF($B$1=2,2,1),'GAAP-IFRS'!H18,IF('Broker Actual'!H18="-",'GAAP-IFRS'!H18,'Broker Actual'!H18))</f>
        <v>4.681</v>
      </c>
      <c r="F117" s="140">
        <f>CHOOSE(IF($B$1=2,2,1),'GAAP-IFRS'!I18,IF('Broker Actual'!I18="-",'GAAP-IFRS'!I18,'Broker Actual'!I18))</f>
        <v>-1.288</v>
      </c>
      <c r="G117" s="140">
        <f>CHOOSE(IF($B$1=2,2,1),'GAAP-IFRS'!J18,IF('Broker Actual'!J18="-",'GAAP-IFRS'!J18,'Broker Actual'!J18))</f>
        <v>2.2480000000000002</v>
      </c>
      <c r="H117" s="140">
        <f>CHOOSE(IF($B$1=2,2,1),'GAAP-IFRS'!K18,IF('Broker Actual'!K18="-",'GAAP-IFRS'!K18,'Broker Actual'!K18))</f>
        <v>0.08</v>
      </c>
      <c r="I117" s="140">
        <f>CHOOSE(IF($B$1=2,2,1),'GAAP-IFRS'!L18,IF('Broker Actual'!L18="-",'GAAP-IFRS'!L18,'Broker Actual'!L18))</f>
        <v>0.28899999999999998</v>
      </c>
      <c r="J117" s="140">
        <f>CHOOSE(IF($B$1=2,2,1),'GAAP-IFRS'!M18,IF('Broker Actual'!M18="-",'GAAP-IFRS'!M18,'Broker Actual'!M18))</f>
        <v>-36.11</v>
      </c>
      <c r="K117" s="140">
        <f>CHOOSE(IF($B$1=2,2,1),'GAAP-IFRS'!N18,IF('Broker Actual'!N18="-",'GAAP-IFRS'!N18,'Broker Actual'!N18))</f>
        <v>-1.036</v>
      </c>
      <c r="L117" s="140">
        <f>CHOOSE(IF($B$1=2,2,1),'GAAP-IFRS'!O18,IF('Broker Actual'!O18="-",'GAAP-IFRS'!O18,'Broker Actual'!O18))</f>
        <v>2.2839999999999998</v>
      </c>
      <c r="M117" s="148">
        <v>0</v>
      </c>
      <c r="N117" s="148">
        <f t="shared" si="70"/>
        <v>0</v>
      </c>
      <c r="O117" s="148">
        <f t="shared" si="70"/>
        <v>0</v>
      </c>
      <c r="P117" s="148">
        <f t="shared" si="70"/>
        <v>0</v>
      </c>
      <c r="Q117" s="148">
        <f t="shared" si="70"/>
        <v>0</v>
      </c>
      <c r="R117" s="124"/>
      <c r="S117" s="124"/>
      <c r="T117" s="124"/>
      <c r="U117" s="124"/>
      <c r="V117" s="124"/>
      <c r="W117" s="125"/>
      <c r="X117" s="126"/>
      <c r="Y117" s="126"/>
      <c r="Z117" s="124"/>
      <c r="AA117" s="124"/>
      <c r="AB117" s="124"/>
      <c r="AC117" s="124"/>
      <c r="AD117" s="124"/>
      <c r="AE117" s="127"/>
    </row>
    <row r="118" spans="1:32" outlineLevel="1" x14ac:dyDescent="0.3">
      <c r="B118" s="124"/>
      <c r="C118" s="124"/>
      <c r="D118" s="124"/>
      <c r="E118" s="124"/>
      <c r="F118" s="124"/>
      <c r="G118" s="124"/>
      <c r="H118" s="124"/>
      <c r="I118" s="124"/>
      <c r="J118" s="124"/>
      <c r="K118" s="124"/>
      <c r="L118" s="141"/>
      <c r="M118" s="124"/>
      <c r="N118" s="124"/>
      <c r="O118" s="124"/>
      <c r="P118" s="124"/>
      <c r="Q118" s="124"/>
      <c r="R118" s="124"/>
      <c r="S118" s="124"/>
      <c r="T118" s="124"/>
      <c r="U118" s="124"/>
      <c r="V118" s="124"/>
      <c r="W118" s="125"/>
      <c r="X118" s="126"/>
      <c r="Y118" s="126"/>
      <c r="Z118" s="124"/>
      <c r="AA118" s="124"/>
      <c r="AB118" s="124"/>
      <c r="AC118" s="124"/>
      <c r="AD118" s="124"/>
      <c r="AE118" s="127"/>
    </row>
    <row r="119" spans="1:32" outlineLevel="1" x14ac:dyDescent="0.3">
      <c r="A119" s="131" t="s">
        <v>119</v>
      </c>
      <c r="B119" s="141" t="e">
        <f t="shared" ref="B119:K119" si="71">B121-(B107-B114+B116-B117)</f>
        <v>#VALUE!</v>
      </c>
      <c r="C119" s="141" t="e">
        <f t="shared" si="71"/>
        <v>#VALUE!</v>
      </c>
      <c r="D119" s="141">
        <f t="shared" si="71"/>
        <v>51.921999999999997</v>
      </c>
      <c r="E119" s="141">
        <f t="shared" si="71"/>
        <v>52.326999999999991</v>
      </c>
      <c r="F119" s="141">
        <f t="shared" si="71"/>
        <v>31.347000000000001</v>
      </c>
      <c r="G119" s="141">
        <f t="shared" si="71"/>
        <v>7.0909999999999993</v>
      </c>
      <c r="H119" s="141">
        <f t="shared" si="71"/>
        <v>13.070499999999996</v>
      </c>
      <c r="I119" s="141">
        <f t="shared" si="71"/>
        <v>27.637</v>
      </c>
      <c r="J119" s="141">
        <f t="shared" si="71"/>
        <v>-15.451999999999998</v>
      </c>
      <c r="K119" s="141">
        <f t="shared" si="71"/>
        <v>13.315000000000001</v>
      </c>
      <c r="L119" s="141">
        <f>L121-(L107-L114+L116-L117)</f>
        <v>-2.2894999999999968</v>
      </c>
      <c r="M119" s="148">
        <v>0</v>
      </c>
      <c r="N119" s="148">
        <f t="shared" ref="N119:Q119" si="72">M119</f>
        <v>0</v>
      </c>
      <c r="O119" s="148">
        <f t="shared" si="72"/>
        <v>0</v>
      </c>
      <c r="P119" s="148">
        <f t="shared" si="72"/>
        <v>0</v>
      </c>
      <c r="Q119" s="148">
        <f t="shared" si="72"/>
        <v>0</v>
      </c>
      <c r="R119" s="124"/>
      <c r="S119" s="124"/>
      <c r="T119" s="124"/>
      <c r="U119" s="124"/>
      <c r="V119" s="124"/>
      <c r="W119" s="125"/>
      <c r="X119" s="126"/>
      <c r="Y119" s="126"/>
      <c r="Z119" s="124"/>
      <c r="AA119" s="124"/>
      <c r="AB119" s="124"/>
      <c r="AC119" s="124"/>
      <c r="AD119" s="124"/>
      <c r="AE119" s="127"/>
    </row>
    <row r="120" spans="1:32" outlineLevel="1" x14ac:dyDescent="0.3">
      <c r="B120" s="124"/>
      <c r="C120" s="124"/>
      <c r="D120" s="124"/>
      <c r="E120" s="124"/>
      <c r="F120" s="124"/>
      <c r="G120" s="124"/>
      <c r="H120" s="124"/>
      <c r="I120" s="124"/>
      <c r="J120" s="124"/>
      <c r="K120" s="124"/>
      <c r="L120" s="141"/>
      <c r="M120" s="216"/>
      <c r="N120" s="216"/>
      <c r="O120" s="216"/>
      <c r="P120" s="124"/>
      <c r="Q120" s="124"/>
      <c r="R120" s="124"/>
      <c r="S120" s="124"/>
      <c r="T120" s="124"/>
      <c r="U120" s="124"/>
      <c r="V120" s="124"/>
      <c r="W120" s="125"/>
      <c r="X120" s="126"/>
      <c r="Y120" s="126"/>
      <c r="Z120" s="124"/>
      <c r="AA120" s="124"/>
      <c r="AB120" s="124"/>
      <c r="AC120" s="124"/>
      <c r="AD120" s="124"/>
      <c r="AE120" s="127"/>
    </row>
    <row r="121" spans="1:32" outlineLevel="1" x14ac:dyDescent="0.3">
      <c r="A121" s="79" t="s">
        <v>120</v>
      </c>
      <c r="B121" s="140">
        <f>CHOOSE(IF($B$1=2,2,1),'GAAP-IFRS'!E19,IF('Broker Actual'!E19="-",'GAAP-IFRS'!E19,'Broker Actual'!E19))</f>
        <v>49.58</v>
      </c>
      <c r="C121" s="140">
        <f>CHOOSE(IF($B$1=2,2,1),'GAAP-IFRS'!F19,IF('Broker Actual'!F19="-",'GAAP-IFRS'!F19,'Broker Actual'!F19))</f>
        <v>106.4765</v>
      </c>
      <c r="D121" s="140">
        <f>CHOOSE(IF($B$1=2,2,1),'GAAP-IFRS'!G19,IF('Broker Actual'!G19="-",'GAAP-IFRS'!G19,'Broker Actual'!G19))</f>
        <v>100.962</v>
      </c>
      <c r="E121" s="140">
        <f>CHOOSE(IF($B$1=2,2,1),'GAAP-IFRS'!H19,IF('Broker Actual'!H19="-",'GAAP-IFRS'!H19,'Broker Actual'!H19))</f>
        <v>106.19199999999999</v>
      </c>
      <c r="F121" s="140">
        <f>CHOOSE(IF($B$1=2,2,1),'GAAP-IFRS'!I19,IF('Broker Actual'!I19="-",'GAAP-IFRS'!I19,'Broker Actual'!I19))</f>
        <v>46.856000000000002</v>
      </c>
      <c r="G121" s="140">
        <f>CHOOSE(IF($B$1=2,2,1),'GAAP-IFRS'!J19,IF('Broker Actual'!J19="-",'GAAP-IFRS'!J19,'Broker Actual'!J19))</f>
        <v>-15.624000000000001</v>
      </c>
      <c r="H121" s="140">
        <f>CHOOSE(IF($B$1=2,2,1),'GAAP-IFRS'!K19,IF('Broker Actual'!K19="-",'GAAP-IFRS'!K19,'Broker Actual'!K19))</f>
        <v>29.154</v>
      </c>
      <c r="I121" s="140">
        <f>CHOOSE(IF($B$1=2,2,1),'GAAP-IFRS'!L19,IF('Broker Actual'!L19="-",'GAAP-IFRS'!L19,'Broker Actual'!L19))</f>
        <v>36.093000000000004</v>
      </c>
      <c r="J121" s="140">
        <f>CHOOSE(IF($B$1=2,2,1),'GAAP-IFRS'!M19,IF('Broker Actual'!M19="-",'GAAP-IFRS'!M19,'Broker Actual'!M19))</f>
        <v>37.524000000000001</v>
      </c>
      <c r="K121" s="140">
        <f>CHOOSE(IF($B$1=2,2,1),'GAAP-IFRS'!N19,IF('Broker Actual'!N19="-",'GAAP-IFRS'!N19,'Broker Actual'!N19))</f>
        <v>10.351000000000001</v>
      </c>
      <c r="L121" s="140">
        <f>CHOOSE(IF($B$1=2,2,1),'GAAP-IFRS'!O19,IF('Broker Actual'!O19="-",'GAAP-IFRS'!O19,'Broker Actual'!O19))</f>
        <v>-64.841499999999996</v>
      </c>
      <c r="M121" s="141">
        <f>M107-M114+M116-M117+M119</f>
        <v>40.522841529213053</v>
      </c>
      <c r="N121" s="141">
        <f t="shared" ref="N121:Q121" si="73">N107-N114+N116-N117+N119</f>
        <v>21.582977746559891</v>
      </c>
      <c r="O121" s="141">
        <f t="shared" si="73"/>
        <v>22.452796253536007</v>
      </c>
      <c r="P121" s="141">
        <f t="shared" si="73"/>
        <v>72.002413342607838</v>
      </c>
      <c r="Q121" s="141">
        <f t="shared" si="73"/>
        <v>79.526936598118823</v>
      </c>
      <c r="R121" s="124"/>
      <c r="S121" s="124"/>
      <c r="T121" s="124"/>
      <c r="U121" s="124"/>
      <c r="V121" s="124"/>
      <c r="W121" s="125"/>
      <c r="X121" s="126" t="s">
        <v>91</v>
      </c>
      <c r="Y121" s="126" t="s">
        <v>121</v>
      </c>
      <c r="Z121" s="124" cm="1">
        <f t="array" ref="Z121">_xll.FDSC("--",$A$1,""&amp;$X121&amp;"("&amp;$Y121&amp;","&amp;D$2&amp;",ANNUAL_ROLL,+1,0,,,'CURRENCY="&amp;$E$1&amp;"')")</f>
        <v>54.158000000000001</v>
      </c>
      <c r="AA121" s="124" cm="1">
        <f t="array" ref="AA121">_xll.FDSC("--",$A$1,""&amp;$X121&amp;"("&amp;$Y121&amp;","&amp;D$2&amp;",ANNUAL_ROLL,+2,0,,,'CURRENCY="&amp;$E$1&amp;"')")</f>
        <v>49.351999999999997</v>
      </c>
      <c r="AB121" s="124" t="str" cm="1">
        <f t="array" ref="AB121">_xll.FDSC("--",$A$1,""&amp;$X121&amp;"("&amp;$Y121&amp;","&amp;D$2&amp;",ANNUAL_ROLL,+3,0,,,'CURRENCY="&amp;$E$1&amp;"')")</f>
        <v>--</v>
      </c>
      <c r="AC121" s="124"/>
      <c r="AD121" s="124"/>
      <c r="AE121" s="127"/>
    </row>
    <row r="122" spans="1:32" s="118" customFormat="1" outlineLevel="1" x14ac:dyDescent="0.3">
      <c r="A122" s="129" t="s">
        <v>87</v>
      </c>
      <c r="B122" s="149"/>
      <c r="C122" s="130">
        <f>C121/B121-1</f>
        <v>1.147569584509883</v>
      </c>
      <c r="D122" s="130">
        <f t="shared" ref="D122:L122" si="74">D121/C121-1</f>
        <v>-5.1790770733448177E-2</v>
      </c>
      <c r="E122" s="130">
        <f t="shared" si="74"/>
        <v>5.1801667954279651E-2</v>
      </c>
      <c r="F122" s="130">
        <f t="shared" si="74"/>
        <v>-0.55876148862437847</v>
      </c>
      <c r="G122" s="130">
        <f t="shared" si="74"/>
        <v>-1.3334471572477378</v>
      </c>
      <c r="H122" s="130">
        <f t="shared" si="74"/>
        <v>-2.8659754224270353</v>
      </c>
      <c r="I122" s="130">
        <f t="shared" si="74"/>
        <v>0.23801193661247178</v>
      </c>
      <c r="J122" s="130">
        <f t="shared" si="74"/>
        <v>3.9647577092510877E-2</v>
      </c>
      <c r="K122" s="130">
        <f t="shared" si="74"/>
        <v>-0.72414987741178982</v>
      </c>
      <c r="L122" s="130">
        <f t="shared" si="74"/>
        <v>-7.2642739831900291</v>
      </c>
      <c r="M122" s="130">
        <f>M121/L121-1</f>
        <v>-1.6249522532515912</v>
      </c>
      <c r="N122" s="130">
        <f>N121/M121-1</f>
        <v>-0.46738735656035746</v>
      </c>
      <c r="O122" s="130">
        <f t="shared" ref="O122:Q122" si="75">O121/N121-1</f>
        <v>4.0301135329426696E-2</v>
      </c>
      <c r="P122" s="130">
        <f t="shared" si="75"/>
        <v>2.2068350208837995</v>
      </c>
      <c r="Q122" s="130">
        <f t="shared" si="75"/>
        <v>0.10450376461282174</v>
      </c>
      <c r="R122" s="149"/>
      <c r="S122" s="149"/>
      <c r="T122" s="149"/>
      <c r="U122" s="149"/>
      <c r="V122" s="149"/>
      <c r="W122" s="150"/>
      <c r="X122" s="151"/>
      <c r="Y122" s="151"/>
      <c r="Z122" s="149"/>
      <c r="AA122" s="149"/>
      <c r="AB122" s="149"/>
      <c r="AC122" s="149"/>
      <c r="AD122" s="149"/>
      <c r="AE122" s="152"/>
      <c r="AF122" s="153"/>
    </row>
    <row r="123" spans="1:32" outlineLevel="1" x14ac:dyDescent="0.3">
      <c r="A123" s="129" t="s">
        <v>122</v>
      </c>
      <c r="B123" s="140">
        <f>CHOOSE(IF($B$1=2,2,1),'GAAP-IFRS'!E21,IF('Broker Actual'!E21="-",'GAAP-IFRS'!E21,'Broker Actual'!E21))</f>
        <v>19.422999999999998</v>
      </c>
      <c r="C123" s="140">
        <f>CHOOSE(IF($B$1=2,2,1),'GAAP-IFRS'!F21,IF('Broker Actual'!F21="-",'GAAP-IFRS'!F21,'Broker Actual'!F21))</f>
        <v>40.890999999999998</v>
      </c>
      <c r="D123" s="140">
        <f>CHOOSE(IF($B$1=2,2,1),'GAAP-IFRS'!G21,IF('Broker Actual'!G21="-",'GAAP-IFRS'!G21,'Broker Actual'!G21))</f>
        <v>38.298000000000002</v>
      </c>
      <c r="E123" s="140">
        <f>CHOOSE(IF($B$1=2,2,1),'GAAP-IFRS'!H21,IF('Broker Actual'!H21="-",'GAAP-IFRS'!H21,'Broker Actual'!H21))</f>
        <v>40.331000000000003</v>
      </c>
      <c r="F123" s="140">
        <f>CHOOSE(IF($B$1=2,2,1),'GAAP-IFRS'!I21,IF('Broker Actual'!I21="-",'GAAP-IFRS'!I21,'Broker Actual'!I21))</f>
        <v>17.835000000000001</v>
      </c>
      <c r="G123" s="140">
        <f>CHOOSE(IF($B$1=2,2,1),'GAAP-IFRS'!J21,IF('Broker Actual'!J21="-",'GAAP-IFRS'!J21,'Broker Actual'!J21))</f>
        <v>-8.0310000000000006</v>
      </c>
      <c r="H123" s="140">
        <f>CHOOSE(IF($B$1=2,2,1),'GAAP-IFRS'!K21,IF('Broker Actual'!K21="-",'GAAP-IFRS'!K21,'Broker Actual'!K21))</f>
        <v>9.1769999999999996</v>
      </c>
      <c r="I123" s="140">
        <f>CHOOSE(IF($B$1=2,2,1),'GAAP-IFRS'!L21,IF('Broker Actual'!L21="-",'GAAP-IFRS'!L21,'Broker Actual'!L21))</f>
        <v>9.5169999999999995</v>
      </c>
      <c r="J123" s="140">
        <f>CHOOSE(IF($B$1=2,2,1),'GAAP-IFRS'!M21,IF('Broker Actual'!M21="-",'GAAP-IFRS'!M21,'Broker Actual'!M21))</f>
        <v>9.3480000000000008</v>
      </c>
      <c r="K123" s="140">
        <f>CHOOSE(IF($B$1=2,2,1),'GAAP-IFRS'!N21,IF('Broker Actual'!N21="-",'GAAP-IFRS'!N21,'Broker Actual'!N21))</f>
        <v>3.9910000000000001</v>
      </c>
      <c r="L123" s="140">
        <f>CHOOSE(IF($B$1=2,2,1),'GAAP-IFRS'!O21,IF('Broker Actual'!O21="-",'GAAP-IFRS'!O21,'Broker Actual'!O21))</f>
        <v>-13.486499999999999</v>
      </c>
      <c r="M123" s="141">
        <f>M121*M124</f>
        <v>10.535938797595394</v>
      </c>
      <c r="N123" s="141">
        <f t="shared" ref="N123:Q123" si="76">N121*N124</f>
        <v>5.6115742141055716</v>
      </c>
      <c r="O123" s="141">
        <f t="shared" si="76"/>
        <v>5.8377270259193619</v>
      </c>
      <c r="P123" s="141">
        <f t="shared" si="76"/>
        <v>18.720627469078039</v>
      </c>
      <c r="Q123" s="141">
        <f t="shared" si="76"/>
        <v>20.677003515510894</v>
      </c>
      <c r="R123" s="124"/>
      <c r="S123" s="124"/>
      <c r="T123" s="124"/>
      <c r="U123" s="124"/>
      <c r="V123" s="124"/>
      <c r="W123" s="125"/>
      <c r="X123" s="126" t="s">
        <v>91</v>
      </c>
      <c r="Y123" s="126" t="s">
        <v>123</v>
      </c>
      <c r="Z123" s="124" cm="1">
        <f t="array" ref="Z123">_xll.FDSC("--",$A$1,""&amp;$X123&amp;"("&amp;$Y123&amp;","&amp;D$2&amp;",ANNUAL_ROLL,+1,0,,,'CURRENCY="&amp;$E$1&amp;"')")</f>
        <v>13.954000000000001</v>
      </c>
      <c r="AA123" s="124" cm="1">
        <f t="array" ref="AA123">_xll.FDSC("--",$A$1,""&amp;$X123&amp;"("&amp;$Y123&amp;","&amp;D$2&amp;",ANNUAL_ROLL,+2,0,,,'CURRENCY="&amp;$E$1&amp;"')")</f>
        <v>14.805999999999999</v>
      </c>
      <c r="AB123" s="124" t="str" cm="1">
        <f t="array" ref="AB123">_xll.FDSC("--",$A$1,""&amp;$X123&amp;"("&amp;$Y123&amp;","&amp;D$2&amp;",ANNUAL_ROLL,+3,0,,,'CURRENCY="&amp;$E$1&amp;"')")</f>
        <v>--</v>
      </c>
      <c r="AC123" s="124"/>
      <c r="AD123" s="124"/>
      <c r="AE123" s="127"/>
    </row>
    <row r="124" spans="1:32" outlineLevel="1" x14ac:dyDescent="0.3">
      <c r="A124" s="129" t="s">
        <v>124</v>
      </c>
      <c r="B124" s="130">
        <f>B123/B121</f>
        <v>0.39175070592981037</v>
      </c>
      <c r="C124" s="130">
        <f t="shared" ref="C124:K124" si="77">C123/C121</f>
        <v>0.38403779237672159</v>
      </c>
      <c r="D124" s="130">
        <f t="shared" si="77"/>
        <v>0.3793308373447436</v>
      </c>
      <c r="E124" s="130">
        <f t="shared" si="77"/>
        <v>0.37979320476118733</v>
      </c>
      <c r="F124" s="130">
        <f t="shared" si="77"/>
        <v>0.38063428376301861</v>
      </c>
      <c r="G124" s="130">
        <f t="shared" si="77"/>
        <v>0.51401689708141318</v>
      </c>
      <c r="H124" s="130">
        <f t="shared" si="77"/>
        <v>0.31477670302531385</v>
      </c>
      <c r="I124" s="130">
        <f t="shared" si="77"/>
        <v>0.26367993793810429</v>
      </c>
      <c r="J124" s="130">
        <f t="shared" si="77"/>
        <v>0.24912056283978257</v>
      </c>
      <c r="K124" s="130">
        <f t="shared" si="77"/>
        <v>0.38556661192155345</v>
      </c>
      <c r="L124" s="130">
        <f>L123/L121</f>
        <v>0.20799179537796011</v>
      </c>
      <c r="M124" s="123">
        <v>0.26</v>
      </c>
      <c r="N124" s="123">
        <v>0.26</v>
      </c>
      <c r="O124" s="123">
        <v>0.26</v>
      </c>
      <c r="P124" s="123">
        <f t="shared" ref="P124:Q124" si="78">O124</f>
        <v>0.26</v>
      </c>
      <c r="Q124" s="123">
        <f t="shared" si="78"/>
        <v>0.26</v>
      </c>
      <c r="R124" s="124"/>
      <c r="S124" s="124"/>
      <c r="T124" s="124"/>
      <c r="U124" s="124"/>
      <c r="V124" s="124"/>
      <c r="W124" s="125"/>
      <c r="X124" s="126"/>
      <c r="Y124" s="126"/>
      <c r="Z124" s="124"/>
      <c r="AA124" s="124"/>
      <c r="AB124" s="124"/>
      <c r="AC124" s="124"/>
      <c r="AD124" s="124"/>
      <c r="AE124" s="127"/>
    </row>
    <row r="125" spans="1:32" outlineLevel="1" x14ac:dyDescent="0.3">
      <c r="A125" s="129"/>
      <c r="B125" s="154"/>
      <c r="C125" s="141"/>
      <c r="D125" s="141"/>
      <c r="E125" s="141"/>
      <c r="F125" s="141"/>
      <c r="G125" s="141"/>
      <c r="H125" s="141"/>
      <c r="I125" s="141"/>
      <c r="J125" s="141"/>
      <c r="K125" s="141"/>
      <c r="L125" s="141"/>
      <c r="M125" s="124"/>
      <c r="N125" s="124"/>
      <c r="O125" s="123"/>
      <c r="P125" s="123"/>
      <c r="Q125" s="123"/>
      <c r="R125" s="124"/>
      <c r="S125" s="124"/>
      <c r="T125" s="124"/>
      <c r="U125" s="124"/>
      <c r="V125" s="124"/>
      <c r="W125" s="125"/>
      <c r="X125" s="126"/>
      <c r="Y125" s="126"/>
      <c r="Z125" s="124"/>
      <c r="AA125" s="124"/>
      <c r="AB125" s="124"/>
      <c r="AC125" s="124"/>
      <c r="AD125" s="124"/>
      <c r="AE125" s="127"/>
    </row>
    <row r="126" spans="1:32" outlineLevel="1" x14ac:dyDescent="0.3">
      <c r="A126" s="79" t="s">
        <v>125</v>
      </c>
      <c r="B126" s="141">
        <f t="shared" ref="B126:L126" si="79">B128-(B121-B123)</f>
        <v>-0.32199999999999918</v>
      </c>
      <c r="C126" s="141">
        <f t="shared" si="79"/>
        <v>-0.12749999999999773</v>
      </c>
      <c r="D126" s="141">
        <f t="shared" si="79"/>
        <v>0</v>
      </c>
      <c r="E126" s="141">
        <f t="shared" si="79"/>
        <v>0</v>
      </c>
      <c r="F126" s="141">
        <f t="shared" si="79"/>
        <v>0</v>
      </c>
      <c r="G126" s="141">
        <f t="shared" si="79"/>
        <v>0.70000000000000018</v>
      </c>
      <c r="H126" s="141">
        <f t="shared" si="79"/>
        <v>-2.2519999999999989</v>
      </c>
      <c r="I126" s="141">
        <f t="shared" si="79"/>
        <v>0</v>
      </c>
      <c r="J126" s="141">
        <f t="shared" si="79"/>
        <v>-0.59600000000000364</v>
      </c>
      <c r="K126" s="141">
        <f t="shared" si="79"/>
        <v>0.88199999999999878</v>
      </c>
      <c r="L126" s="141">
        <f t="shared" si="79"/>
        <v>-3.2480000000000047</v>
      </c>
      <c r="M126" s="148">
        <v>0</v>
      </c>
      <c r="N126" s="148">
        <f t="shared" ref="N126:Q126" si="80">M126</f>
        <v>0</v>
      </c>
      <c r="O126" s="148">
        <f t="shared" si="80"/>
        <v>0</v>
      </c>
      <c r="P126" s="148">
        <f t="shared" si="80"/>
        <v>0</v>
      </c>
      <c r="Q126" s="148">
        <f t="shared" si="80"/>
        <v>0</v>
      </c>
      <c r="R126" s="124"/>
      <c r="S126" s="124"/>
      <c r="T126" s="124"/>
      <c r="U126" s="124"/>
      <c r="V126" s="124"/>
      <c r="W126" s="125"/>
      <c r="X126" s="126"/>
      <c r="Y126" s="126"/>
      <c r="Z126" s="124"/>
      <c r="AA126" s="124"/>
      <c r="AB126" s="124"/>
      <c r="AC126" s="124"/>
      <c r="AD126" s="124"/>
      <c r="AE126" s="127"/>
    </row>
    <row r="127" spans="1:32" outlineLevel="1" x14ac:dyDescent="0.3">
      <c r="A127" s="129"/>
      <c r="B127" s="154"/>
      <c r="C127" s="141"/>
      <c r="D127" s="141"/>
      <c r="E127" s="141"/>
      <c r="F127" s="141"/>
      <c r="G127" s="141"/>
      <c r="H127" s="141"/>
      <c r="I127" s="141"/>
      <c r="J127" s="141"/>
      <c r="K127" s="141"/>
      <c r="L127" s="141"/>
      <c r="M127" s="216"/>
      <c r="N127" s="216"/>
      <c r="O127" s="219"/>
      <c r="P127" s="123"/>
      <c r="Q127" s="123"/>
      <c r="R127" s="124"/>
      <c r="S127" s="124"/>
      <c r="T127" s="124"/>
      <c r="U127" s="124"/>
      <c r="V127" s="124"/>
      <c r="W127" s="125"/>
      <c r="X127" s="126"/>
      <c r="Y127" s="126"/>
      <c r="Z127" s="124"/>
      <c r="AA127" s="124"/>
      <c r="AB127" s="124"/>
      <c r="AC127" s="124"/>
      <c r="AD127" s="124"/>
      <c r="AE127" s="127"/>
    </row>
    <row r="128" spans="1:32" s="118" customFormat="1" outlineLevel="1" x14ac:dyDescent="0.3">
      <c r="A128" s="118" t="s">
        <v>126</v>
      </c>
      <c r="B128" s="155">
        <f>CHOOSE(IF($B$1=2,2,1),'GAAP-IFRS'!E22,IF('Broker Actual'!E22="-",'GAAP-IFRS'!E22,'Broker Actual'!E22))</f>
        <v>29.835000000000001</v>
      </c>
      <c r="C128" s="155">
        <f>CHOOSE(IF($B$1=2,2,1),'GAAP-IFRS'!F22,IF('Broker Actual'!F22="-",'GAAP-IFRS'!F22,'Broker Actual'!F22))</f>
        <v>65.457999999999998</v>
      </c>
      <c r="D128" s="155">
        <f>CHOOSE(IF($B$1=2,2,1),'GAAP-IFRS'!G22,IF('Broker Actual'!G22="-",'GAAP-IFRS'!G22,'Broker Actual'!G22))</f>
        <v>62.664000000000001</v>
      </c>
      <c r="E128" s="155">
        <f>CHOOSE(IF($B$1=2,2,1),'GAAP-IFRS'!H22,IF('Broker Actual'!H22="-",'GAAP-IFRS'!H22,'Broker Actual'!H22))</f>
        <v>65.861000000000004</v>
      </c>
      <c r="F128" s="155">
        <f>CHOOSE(IF($B$1=2,2,1),'GAAP-IFRS'!I22,IF('Broker Actual'!I22="-",'GAAP-IFRS'!I22,'Broker Actual'!I22))</f>
        <v>29.021000000000001</v>
      </c>
      <c r="G128" s="155">
        <f>CHOOSE(IF($B$1=2,2,1),'GAAP-IFRS'!J22,IF('Broker Actual'!J22="-",'GAAP-IFRS'!J22,'Broker Actual'!J22))</f>
        <v>-6.8929999999999998</v>
      </c>
      <c r="H128" s="155">
        <f>CHOOSE(IF($B$1=2,2,1),'GAAP-IFRS'!K22,IF('Broker Actual'!K22="-",'GAAP-IFRS'!K22,'Broker Actual'!K22))</f>
        <v>17.725000000000001</v>
      </c>
      <c r="I128" s="155">
        <f>CHOOSE(IF($B$1=2,2,1),'GAAP-IFRS'!L22,IF('Broker Actual'!L22="-",'GAAP-IFRS'!L22,'Broker Actual'!L22))</f>
        <v>26.576000000000001</v>
      </c>
      <c r="J128" s="155">
        <f>CHOOSE(IF($B$1=2,2,1),'GAAP-IFRS'!M22,IF('Broker Actual'!M22="-",'GAAP-IFRS'!M22,'Broker Actual'!M22))</f>
        <v>27.58</v>
      </c>
      <c r="K128" s="155">
        <f>CHOOSE(IF($B$1=2,2,1),'GAAP-IFRS'!N22,IF('Broker Actual'!N22="-",'GAAP-IFRS'!N22,'Broker Actual'!N22))</f>
        <v>7.242</v>
      </c>
      <c r="L128" s="155">
        <f>CHOOSE(IF($B$1=2,2,1),'GAAP-IFRS'!O22,IF('Broker Actual'!O22="-",'GAAP-IFRS'!O22,'Broker Actual'!O22))</f>
        <v>-54.603000000000002</v>
      </c>
      <c r="M128" s="156">
        <f>M121-M123+M126</f>
        <v>29.986902731617661</v>
      </c>
      <c r="N128" s="156">
        <f>N121-N123+N126</f>
        <v>15.971403532454319</v>
      </c>
      <c r="O128" s="156">
        <f>O121-O123+O126</f>
        <v>16.615069227616644</v>
      </c>
      <c r="P128" s="156">
        <f>P121-P123+P126</f>
        <v>53.281785873529799</v>
      </c>
      <c r="Q128" s="156">
        <f>Q121-Q123+Q126</f>
        <v>58.849933082607933</v>
      </c>
      <c r="R128" s="157"/>
      <c r="S128" s="157"/>
      <c r="T128" s="157"/>
      <c r="U128" s="157"/>
      <c r="V128" s="157"/>
      <c r="W128" s="158"/>
      <c r="X128" s="159" t="s">
        <v>91</v>
      </c>
      <c r="Y128" s="159" t="s">
        <v>127</v>
      </c>
      <c r="Z128" s="157" cm="1">
        <f t="array" ref="Z128">_xll.FDSC("--",$A$1,""&amp;$X128&amp;"("&amp;$Y128&amp;","&amp;D$2&amp;",ANNUAL_ROLL,+1,0,,,'CURRENCY="&amp;$E$1&amp;"')")</f>
        <v>33.014000000000003</v>
      </c>
      <c r="AA128" s="157" t="e" cm="1">
        <f t="array" ref="AA128">_xll.FDSC("--",$A$1,""&amp;$X128&amp;"("&amp;$Y128&amp;","&amp;#REF!&amp;",ANNUAL_ROLL,+2,0,,,'CURRENCY="&amp;$E$1&amp;"')")</f>
        <v>#VALUE!</v>
      </c>
      <c r="AB128" s="157" t="str" cm="1">
        <f t="array" ref="AB128">_xll.FDSC("--",$A$1,""&amp;$X128&amp;"("&amp;$Y128&amp;","&amp;D$2&amp;",ANNUAL_ROLL,+3,0,,,'CURRENCY="&amp;$E$1&amp;"')")</f>
        <v>--</v>
      </c>
      <c r="AC128" s="157"/>
      <c r="AD128" s="157"/>
      <c r="AE128" s="160"/>
    </row>
    <row r="129" spans="1:32" s="118" customFormat="1" outlineLevel="1" x14ac:dyDescent="0.3">
      <c r="A129" s="129" t="s">
        <v>87</v>
      </c>
      <c r="B129" s="149"/>
      <c r="C129" s="130">
        <f>C128/B128-1</f>
        <v>1.1940003351768058</v>
      </c>
      <c r="D129" s="130">
        <f t="shared" ref="D129:L129" si="81">D128/C128-1</f>
        <v>-4.2683858351920234E-2</v>
      </c>
      <c r="E129" s="130">
        <f t="shared" si="81"/>
        <v>5.1018128430997178E-2</v>
      </c>
      <c r="F129" s="130">
        <f t="shared" si="81"/>
        <v>-0.5593598639559072</v>
      </c>
      <c r="G129" s="130">
        <f t="shared" si="81"/>
        <v>-1.2375176596257882</v>
      </c>
      <c r="H129" s="130">
        <f t="shared" si="81"/>
        <v>-3.5714492963876401</v>
      </c>
      <c r="I129" s="130">
        <f t="shared" si="81"/>
        <v>0.49935119887165014</v>
      </c>
      <c r="J129" s="130">
        <f t="shared" si="81"/>
        <v>3.7778446718844005E-2</v>
      </c>
      <c r="K129" s="130">
        <f t="shared" si="81"/>
        <v>-0.73741841914430739</v>
      </c>
      <c r="L129" s="130">
        <f t="shared" si="81"/>
        <v>-8.5397680198840114</v>
      </c>
      <c r="M129" s="130">
        <f>M128/L128-1</f>
        <v>-1.5491804979876136</v>
      </c>
      <c r="N129" s="130">
        <f>N128/M128-1</f>
        <v>-0.46738735656035746</v>
      </c>
      <c r="O129" s="130">
        <f t="shared" ref="O129:Q129" si="82">O128/N128-1</f>
        <v>4.0301135329426696E-2</v>
      </c>
      <c r="P129" s="130">
        <f t="shared" si="82"/>
        <v>2.2068350208837999</v>
      </c>
      <c r="Q129" s="130">
        <f t="shared" si="82"/>
        <v>0.10450376461282174</v>
      </c>
      <c r="R129" s="149"/>
      <c r="S129" s="149"/>
      <c r="T129" s="149"/>
      <c r="U129" s="149"/>
      <c r="V129" s="149"/>
      <c r="W129" s="150"/>
      <c r="X129" s="151"/>
      <c r="Y129" s="151"/>
      <c r="Z129" s="149"/>
      <c r="AA129" s="149"/>
      <c r="AB129" s="149"/>
      <c r="AC129" s="149"/>
      <c r="AD129" s="149"/>
      <c r="AE129" s="152"/>
      <c r="AF129" s="153"/>
    </row>
    <row r="130" spans="1:32" s="118" customFormat="1" outlineLevel="1" x14ac:dyDescent="0.3">
      <c r="B130" s="157"/>
      <c r="C130" s="157"/>
      <c r="D130" s="157"/>
      <c r="E130" s="157"/>
      <c r="F130" s="157"/>
      <c r="G130" s="157"/>
      <c r="H130" s="157"/>
      <c r="I130" s="157"/>
      <c r="J130" s="157"/>
      <c r="K130" s="157"/>
      <c r="L130" s="157"/>
      <c r="M130" s="157"/>
      <c r="N130" s="157"/>
      <c r="O130" s="157"/>
      <c r="P130" s="157"/>
      <c r="Q130" s="157"/>
      <c r="R130" s="157"/>
      <c r="S130" s="157"/>
      <c r="T130" s="157"/>
      <c r="U130" s="157"/>
      <c r="V130" s="157"/>
      <c r="W130" s="158"/>
      <c r="X130" s="159"/>
      <c r="Y130" s="159"/>
      <c r="Z130" s="157"/>
      <c r="AA130" s="157"/>
      <c r="AB130" s="157"/>
      <c r="AC130" s="157"/>
      <c r="AD130" s="157"/>
      <c r="AE130" s="160"/>
    </row>
    <row r="131" spans="1:32" s="118" customFormat="1" outlineLevel="1" x14ac:dyDescent="0.3">
      <c r="A131" s="79" t="s">
        <v>128</v>
      </c>
      <c r="B131" s="137"/>
      <c r="C131" s="161"/>
      <c r="D131" s="161"/>
      <c r="E131" s="157"/>
      <c r="F131" s="157"/>
      <c r="G131" s="157"/>
      <c r="H131" s="157"/>
      <c r="I131" s="157"/>
      <c r="J131" s="157"/>
      <c r="K131" s="157"/>
      <c r="L131" s="157"/>
      <c r="M131" s="162">
        <v>15.6</v>
      </c>
      <c r="N131" s="162">
        <v>12.5</v>
      </c>
      <c r="O131" s="162">
        <v>12.5</v>
      </c>
      <c r="P131" s="162">
        <v>12.1</v>
      </c>
      <c r="Q131" s="162">
        <v>12.1</v>
      </c>
      <c r="R131" s="162">
        <v>12.1</v>
      </c>
      <c r="S131" s="162">
        <v>12.1</v>
      </c>
      <c r="T131" s="162">
        <v>12.1</v>
      </c>
      <c r="U131" s="162">
        <v>12.1</v>
      </c>
      <c r="V131" s="162">
        <v>12.1</v>
      </c>
      <c r="W131" s="158"/>
      <c r="X131" s="159"/>
      <c r="Y131" s="159"/>
      <c r="Z131" s="157"/>
      <c r="AA131" s="157"/>
      <c r="AB131" s="157"/>
      <c r="AC131" s="157"/>
      <c r="AD131" s="157"/>
      <c r="AE131" s="160"/>
    </row>
    <row r="132" spans="1:32" s="224" customFormat="1" outlineLevel="1" x14ac:dyDescent="0.3">
      <c r="A132" s="104" t="s">
        <v>129</v>
      </c>
      <c r="B132" s="231"/>
      <c r="C132" s="220"/>
      <c r="D132" s="220"/>
      <c r="E132" s="220"/>
      <c r="F132" s="220"/>
      <c r="G132" s="220"/>
      <c r="H132" s="220"/>
      <c r="I132" s="220"/>
      <c r="J132" s="220"/>
      <c r="K132" s="220"/>
      <c r="L132" s="220"/>
      <c r="M132" s="226">
        <f>M137*M131</f>
        <v>53.158600296958575</v>
      </c>
      <c r="N132" s="226">
        <f t="shared" ref="N132:Q132" si="83">N137*N131</f>
        <v>22.686652744963521</v>
      </c>
      <c r="O132" s="226">
        <f t="shared" si="83"/>
        <v>23.600950607410002</v>
      </c>
      <c r="P132" s="226">
        <f t="shared" si="83"/>
        <v>74.966233612757037</v>
      </c>
      <c r="Q132" s="226">
        <f t="shared" si="83"/>
        <v>82.800487244134416</v>
      </c>
      <c r="R132" s="220"/>
      <c r="S132" s="220"/>
      <c r="T132" s="220"/>
      <c r="U132" s="220"/>
      <c r="V132" s="220"/>
      <c r="W132" s="221"/>
      <c r="X132" s="222"/>
      <c r="Y132" s="222"/>
      <c r="Z132" s="220"/>
      <c r="AA132" s="220"/>
      <c r="AB132" s="220"/>
      <c r="AC132" s="220"/>
      <c r="AD132" s="220"/>
      <c r="AE132" s="223"/>
    </row>
    <row r="133" spans="1:32" s="118" customFormat="1" outlineLevel="1" x14ac:dyDescent="0.3">
      <c r="A133" s="79" t="s">
        <v>130</v>
      </c>
      <c r="B133" s="157"/>
      <c r="C133" s="157"/>
      <c r="D133" s="157"/>
      <c r="E133" s="157"/>
      <c r="F133" s="157"/>
      <c r="G133" s="157"/>
      <c r="H133" s="157"/>
      <c r="I133" s="157"/>
      <c r="J133" s="157"/>
      <c r="K133" s="157"/>
      <c r="L133" s="157"/>
      <c r="M133" s="163">
        <f>-M244/M132</f>
        <v>3.9263676732517246E-2</v>
      </c>
      <c r="N133" s="163">
        <f>-N244/N132</f>
        <v>4.6524438143966318E-3</v>
      </c>
      <c r="O133" s="163">
        <f>-O244/O132</f>
        <v>-5.1777200485047933E-3</v>
      </c>
      <c r="P133" s="163">
        <f>-P244/P132</f>
        <v>-3.9569085556200805E-2</v>
      </c>
      <c r="Q133" s="163">
        <f>-Q244/Q132</f>
        <v>-3.4724212376999256E-2</v>
      </c>
      <c r="R133" s="157"/>
      <c r="S133" s="157"/>
      <c r="T133" s="157"/>
      <c r="U133" s="157"/>
      <c r="V133" s="157"/>
      <c r="W133" s="158"/>
      <c r="X133" s="159"/>
      <c r="Y133" s="159"/>
      <c r="Z133" s="157"/>
      <c r="AA133" s="157"/>
      <c r="AB133" s="157"/>
      <c r="AC133" s="157"/>
      <c r="AD133" s="157"/>
      <c r="AE133" s="160"/>
    </row>
    <row r="134" spans="1:32" s="224" customFormat="1" outlineLevel="1" x14ac:dyDescent="0.3">
      <c r="A134" s="104" t="s">
        <v>131</v>
      </c>
      <c r="B134" s="220"/>
      <c r="C134" s="220"/>
      <c r="D134" s="220"/>
      <c r="E134" s="220"/>
      <c r="F134" s="220"/>
      <c r="G134" s="220"/>
      <c r="H134" s="220"/>
      <c r="I134" s="220"/>
      <c r="J134" s="220"/>
      <c r="K134" s="220"/>
      <c r="L134" s="220"/>
      <c r="M134" s="234">
        <f>L135-M133</f>
        <v>8.777736323267483</v>
      </c>
      <c r="N134" s="234">
        <f>M135-N133</f>
        <v>8.7953475561856038</v>
      </c>
      <c r="O134" s="234">
        <f t="shared" ref="O134:Q134" si="84">N135-O133</f>
        <v>8.8051777200485049</v>
      </c>
      <c r="P134" s="234">
        <f t="shared" si="84"/>
        <v>8.8395690855562012</v>
      </c>
      <c r="Q134" s="234">
        <f t="shared" si="84"/>
        <v>8.6347242123769981</v>
      </c>
      <c r="R134" s="220"/>
      <c r="S134" s="220"/>
      <c r="T134" s="220"/>
      <c r="U134" s="220"/>
      <c r="V134" s="220"/>
      <c r="W134" s="221"/>
      <c r="X134" s="222"/>
      <c r="Y134" s="222"/>
      <c r="Z134" s="220"/>
      <c r="AA134" s="220"/>
      <c r="AB134" s="220"/>
      <c r="AC134" s="220"/>
      <c r="AD134" s="220"/>
      <c r="AE134" s="223"/>
    </row>
    <row r="135" spans="1:32" outlineLevel="1" x14ac:dyDescent="0.3">
      <c r="A135" s="164" t="s">
        <v>132</v>
      </c>
      <c r="B135" s="165">
        <f>CHOOSE(IF($B$1=2,2,1),'GAAP-IFRS'!E24,IF('Broker Actual'!E24="-",'GAAP-IFRS'!E24,'Broker Actual'!E24))</f>
        <v>9.8130000000000006</v>
      </c>
      <c r="C135" s="165">
        <f>CHOOSE(IF($B$1=2,2,1),'GAAP-IFRS'!F24,IF('Broker Actual'!F24="-",'GAAP-IFRS'!F24,'Broker Actual'!F24))</f>
        <v>11.122</v>
      </c>
      <c r="D135" s="165">
        <f>CHOOSE(IF($B$1=2,2,1),'GAAP-IFRS'!G24,IF('Broker Actual'!G24="-",'GAAP-IFRS'!G24,'Broker Actual'!G24))</f>
        <v>11.694000000000001</v>
      </c>
      <c r="E135" s="165">
        <f>CHOOSE(IF($B$1=2,2,1),'GAAP-IFRS'!H24,IF('Broker Actual'!H24="-",'GAAP-IFRS'!H24,'Broker Actual'!H24))</f>
        <v>11.355</v>
      </c>
      <c r="F135" s="165">
        <f>CHOOSE(IF($B$1=2,2,1),'GAAP-IFRS'!I24,IF('Broker Actual'!I24="-",'GAAP-IFRS'!I24,'Broker Actual'!I24))</f>
        <v>10.872999999999999</v>
      </c>
      <c r="G135" s="165">
        <f>CHOOSE(IF($B$1=2,2,1),'GAAP-IFRS'!J24,IF('Broker Actual'!J24="-",'GAAP-IFRS'!J24,'Broker Actual'!J24))</f>
        <v>8.5579999999999998</v>
      </c>
      <c r="H135" s="165">
        <f>CHOOSE(IF($B$1=2,2,1),'GAAP-IFRS'!K24,IF('Broker Actual'!K24="-",'GAAP-IFRS'!K24,'Broker Actual'!K24))</f>
        <v>7.8949999999999996</v>
      </c>
      <c r="I135" s="165">
        <f>CHOOSE(IF($B$1=2,2,1),'GAAP-IFRS'!L24,IF('Broker Actual'!L24="-",'GAAP-IFRS'!L24,'Broker Actual'!L24))</f>
        <v>10.238</v>
      </c>
      <c r="J135" s="165">
        <f>CHOOSE(IF($B$1=2,2,1),'GAAP-IFRS'!M24,IF('Broker Actual'!M24="-",'GAAP-IFRS'!M24,'Broker Actual'!M24))</f>
        <v>9.6940000000000008</v>
      </c>
      <c r="K135" s="165">
        <f>CHOOSE(IF($B$1=2,2,1),'GAAP-IFRS'!N24,IF('Broker Actual'!N24="-",'GAAP-IFRS'!N24,'Broker Actual'!N24))</f>
        <v>8.58</v>
      </c>
      <c r="L135" s="165">
        <f>CHOOSE(IF($B$1=2,2,1),'GAAP-IFRS'!O24,IF('Broker Actual'!O24="-",'GAAP-IFRS'!O24,'Broker Actual'!O24))</f>
        <v>8.8170000000000002</v>
      </c>
      <c r="M135" s="166">
        <v>8.8000000000000007</v>
      </c>
      <c r="N135" s="166">
        <v>8.8000000000000007</v>
      </c>
      <c r="O135" s="166">
        <v>8.8000000000000007</v>
      </c>
      <c r="P135" s="166">
        <v>8.6</v>
      </c>
      <c r="Q135" s="166">
        <v>8.6</v>
      </c>
      <c r="R135" s="167"/>
      <c r="S135" s="167"/>
      <c r="T135" s="167"/>
      <c r="U135" s="167"/>
      <c r="V135" s="167"/>
      <c r="W135" s="168"/>
      <c r="X135" s="169"/>
      <c r="Y135" s="169"/>
      <c r="Z135" s="167"/>
      <c r="AA135" s="167"/>
      <c r="AB135" s="167"/>
      <c r="AC135" s="167"/>
      <c r="AD135" s="167"/>
      <c r="AE135" s="127"/>
      <c r="AF135" s="170"/>
    </row>
    <row r="136" spans="1:32" outlineLevel="1" x14ac:dyDescent="0.3">
      <c r="A136" s="171" t="s">
        <v>87</v>
      </c>
      <c r="B136" s="167"/>
      <c r="C136" s="130">
        <f>C135/B135-1</f>
        <v>0.13339447671456228</v>
      </c>
      <c r="D136" s="130">
        <f t="shared" ref="D136:Q136" si="85">D135/C135-1</f>
        <v>5.1429598992986936E-2</v>
      </c>
      <c r="E136" s="130">
        <f t="shared" si="85"/>
        <v>-2.8989225243714722E-2</v>
      </c>
      <c r="F136" s="130">
        <f t="shared" si="85"/>
        <v>-4.2448260678115468E-2</v>
      </c>
      <c r="G136" s="130">
        <f t="shared" si="85"/>
        <v>-0.21291271958061253</v>
      </c>
      <c r="H136" s="130">
        <f t="shared" si="85"/>
        <v>-7.7471371815844847E-2</v>
      </c>
      <c r="I136" s="130">
        <f t="shared" si="85"/>
        <v>0.29677010766307799</v>
      </c>
      <c r="J136" s="130">
        <f t="shared" si="85"/>
        <v>-5.3135378003516198E-2</v>
      </c>
      <c r="K136" s="130">
        <f t="shared" si="85"/>
        <v>-0.11491644316071803</v>
      </c>
      <c r="L136" s="130">
        <f t="shared" si="85"/>
        <v>2.7622377622377625E-2</v>
      </c>
      <c r="M136" s="130">
        <f t="shared" si="85"/>
        <v>-1.9280934558238982E-3</v>
      </c>
      <c r="N136" s="130">
        <f t="shared" si="85"/>
        <v>0</v>
      </c>
      <c r="O136" s="130">
        <f t="shared" si="85"/>
        <v>0</v>
      </c>
      <c r="P136" s="130">
        <f t="shared" si="85"/>
        <v>-2.2727272727272818E-2</v>
      </c>
      <c r="Q136" s="130">
        <f t="shared" si="85"/>
        <v>0</v>
      </c>
      <c r="R136" s="167"/>
      <c r="S136" s="167"/>
      <c r="T136" s="167"/>
      <c r="U136" s="167"/>
      <c r="V136" s="167"/>
      <c r="W136" s="168"/>
      <c r="X136" s="169"/>
      <c r="Y136" s="169"/>
      <c r="Z136" s="167"/>
      <c r="AA136" s="167"/>
      <c r="AB136" s="167"/>
      <c r="AC136" s="167"/>
      <c r="AD136" s="167"/>
      <c r="AE136" s="127"/>
      <c r="AF136" s="170"/>
    </row>
    <row r="137" spans="1:32" outlineLevel="1" x14ac:dyDescent="0.3">
      <c r="A137" s="172" t="s">
        <v>133</v>
      </c>
      <c r="B137" s="173">
        <f>CHOOSE(IF($B$1=2,2,1),'GAAP-IFRS'!E25,IF('Broker Actual'!E25="-",'GAAP-IFRS'!E25,'Broker Actual'!E25))</f>
        <v>3.02</v>
      </c>
      <c r="C137" s="173">
        <f>CHOOSE(IF($B$1=2,2,1),'GAAP-IFRS'!F25,IF('Broker Actual'!F25="-",'GAAP-IFRS'!F25,'Broker Actual'!F25))</f>
        <v>5.63</v>
      </c>
      <c r="D137" s="173">
        <f>CHOOSE(IF($B$1=2,2,1),'GAAP-IFRS'!G25,IF('Broker Actual'!G25="-",'GAAP-IFRS'!G25,'Broker Actual'!G25))</f>
        <v>5.1086299999999998</v>
      </c>
      <c r="E137" s="173">
        <f>CHOOSE(IF($B$1=2,2,1),'GAAP-IFRS'!H25,IF('Broker Actual'!H25="-",'GAAP-IFRS'!H25,'Broker Actual'!H25))</f>
        <v>5.9337799999999996</v>
      </c>
      <c r="F137" s="173">
        <f>CHOOSE(IF($B$1=2,2,1),'GAAP-IFRS'!I25,IF('Broker Actual'!I25="-",'GAAP-IFRS'!I25,'Broker Actual'!I25))</f>
        <v>2.7578999999999998</v>
      </c>
      <c r="G137" s="173">
        <f>CHOOSE(IF($B$1=2,2,1),'GAAP-IFRS'!J25,IF('Broker Actual'!J25="-",'GAAP-IFRS'!J25,'Broker Actual'!J25))</f>
        <v>-0.95862099999999995</v>
      </c>
      <c r="H137" s="173">
        <f>CHOOSE(IF($B$1=2,2,1),'GAAP-IFRS'!K25,IF('Broker Actual'!K25="-",'GAAP-IFRS'!K25,'Broker Actual'!K25))</f>
        <v>3.23</v>
      </c>
      <c r="I137" s="173">
        <f>CHOOSE(IF($B$1=2,2,1),'GAAP-IFRS'!L25,IF('Broker Actual'!L25="-",'GAAP-IFRS'!L25,'Broker Actual'!L25))</f>
        <v>2.57</v>
      </c>
      <c r="J137" s="173">
        <f>CHOOSE(IF($B$1=2,2,1),'GAAP-IFRS'!M25,IF('Broker Actual'!M25="-",'GAAP-IFRS'!M25,'Broker Actual'!M25))</f>
        <v>3.44</v>
      </c>
      <c r="K137" s="173">
        <f>CHOOSE(IF($B$1=2,2,1),'GAAP-IFRS'!N25,IF('Broker Actual'!N25="-",'GAAP-IFRS'!N25,'Broker Actual'!N25))</f>
        <v>0.1</v>
      </c>
      <c r="L137" s="173">
        <f>CHOOSE(IF($B$1=2,2,1),'GAAP-IFRS'!O25,IF('Broker Actual'!O25="-",'GAAP-IFRS'!O25,'Broker Actual'!O25))</f>
        <v>-5.48</v>
      </c>
      <c r="M137" s="174">
        <f>M128/M135</f>
        <v>3.4076025831383703</v>
      </c>
      <c r="N137" s="174">
        <f>N128/N135</f>
        <v>1.8149322195970816</v>
      </c>
      <c r="O137" s="174">
        <f>O128/O135</f>
        <v>1.8880760485928003</v>
      </c>
      <c r="P137" s="174">
        <f>P128/P135</f>
        <v>6.1955564969220696</v>
      </c>
      <c r="Q137" s="174">
        <f>Q128/Q135</f>
        <v>6.8430154747218532</v>
      </c>
      <c r="R137" s="167"/>
      <c r="S137" s="167"/>
      <c r="T137" s="167"/>
      <c r="U137" s="167"/>
      <c r="V137" s="167"/>
      <c r="W137" s="168"/>
      <c r="X137" s="169"/>
      <c r="Y137" s="169"/>
      <c r="Z137" s="167"/>
      <c r="AA137" s="167"/>
      <c r="AB137" s="167"/>
      <c r="AC137" s="167"/>
      <c r="AD137" s="167"/>
      <c r="AE137" s="127"/>
      <c r="AF137" s="170"/>
    </row>
    <row r="138" spans="1:32" s="118" customFormat="1" outlineLevel="1" x14ac:dyDescent="0.3">
      <c r="A138" s="129" t="s">
        <v>87</v>
      </c>
      <c r="B138" s="149"/>
      <c r="C138" s="130">
        <f>C137/B137-1</f>
        <v>0.86423841059602635</v>
      </c>
      <c r="D138" s="130">
        <f t="shared" ref="D138:L138" si="86">D137/C137-1</f>
        <v>-9.2605683836589736E-2</v>
      </c>
      <c r="E138" s="130">
        <f t="shared" si="86"/>
        <v>0.16152079911835471</v>
      </c>
      <c r="F138" s="130">
        <f t="shared" si="86"/>
        <v>-0.53522038228582791</v>
      </c>
      <c r="G138" s="130">
        <f t="shared" si="86"/>
        <v>-1.3475909206280141</v>
      </c>
      <c r="H138" s="130">
        <f t="shared" si="86"/>
        <v>-4.3694233696111393</v>
      </c>
      <c r="I138" s="130">
        <f t="shared" si="86"/>
        <v>-0.20433436532507743</v>
      </c>
      <c r="J138" s="130">
        <f t="shared" si="86"/>
        <v>0.33852140077821025</v>
      </c>
      <c r="K138" s="130">
        <f t="shared" si="86"/>
        <v>-0.97093023255813948</v>
      </c>
      <c r="L138" s="130">
        <f t="shared" si="86"/>
        <v>-55.800000000000004</v>
      </c>
      <c r="M138" s="130">
        <f>M137/L137-1</f>
        <v>-1.6218252888938631</v>
      </c>
      <c r="N138" s="130">
        <f>N137/M137-1</f>
        <v>-0.46738735656035746</v>
      </c>
      <c r="O138" s="130">
        <f t="shared" ref="O138:Q138" si="87">O137/N137-1</f>
        <v>4.0301135329426696E-2</v>
      </c>
      <c r="P138" s="130">
        <f t="shared" si="87"/>
        <v>2.2814125795090048</v>
      </c>
      <c r="Q138" s="130">
        <f t="shared" si="87"/>
        <v>0.10450376461282196</v>
      </c>
      <c r="R138" s="149"/>
      <c r="S138" s="149"/>
      <c r="T138" s="149"/>
      <c r="U138" s="149"/>
      <c r="V138" s="149"/>
      <c r="W138" s="150"/>
      <c r="X138" s="151"/>
      <c r="Y138" s="151"/>
      <c r="Z138" s="149"/>
      <c r="AA138" s="149"/>
      <c r="AB138" s="149"/>
      <c r="AC138" s="149"/>
      <c r="AD138" s="149"/>
      <c r="AE138" s="152"/>
      <c r="AF138" s="153"/>
    </row>
    <row r="139" spans="1:32" s="118" customFormat="1" outlineLevel="1" x14ac:dyDescent="0.3">
      <c r="A139" s="129"/>
      <c r="B139" s="149"/>
      <c r="C139" s="130"/>
      <c r="D139" s="130"/>
      <c r="E139" s="130"/>
      <c r="F139" s="130"/>
      <c r="G139" s="130"/>
      <c r="H139" s="130"/>
      <c r="I139" s="130"/>
      <c r="J139" s="130"/>
      <c r="K139" s="130"/>
      <c r="L139" s="130"/>
      <c r="M139" s="218"/>
      <c r="N139" s="218"/>
      <c r="O139" s="218"/>
      <c r="P139" s="130"/>
      <c r="Q139" s="130"/>
      <c r="R139" s="149"/>
      <c r="S139" s="149"/>
      <c r="T139" s="149"/>
      <c r="U139" s="149"/>
      <c r="V139" s="149"/>
      <c r="W139" s="150"/>
      <c r="X139" s="151"/>
      <c r="Y139" s="151"/>
      <c r="Z139" s="149"/>
      <c r="AA139" s="149"/>
      <c r="AB139" s="149"/>
      <c r="AC139" s="149"/>
      <c r="AD139" s="149"/>
      <c r="AE139" s="152"/>
      <c r="AF139" s="153"/>
    </row>
    <row r="140" spans="1:32" s="118" customFormat="1" outlineLevel="1" x14ac:dyDescent="0.3">
      <c r="A140" s="129"/>
      <c r="B140" s="149"/>
      <c r="C140" s="130"/>
      <c r="D140" s="130"/>
      <c r="E140" s="130"/>
      <c r="F140" s="130"/>
      <c r="G140" s="130"/>
      <c r="H140" s="130"/>
      <c r="I140" s="130"/>
      <c r="J140" s="130"/>
      <c r="K140" s="130"/>
      <c r="L140" s="130"/>
      <c r="M140" s="130"/>
      <c r="N140" s="130"/>
      <c r="O140" s="130"/>
      <c r="P140" s="130"/>
      <c r="Q140" s="130"/>
      <c r="R140" s="149"/>
      <c r="S140" s="149"/>
      <c r="T140" s="149"/>
      <c r="U140" s="149"/>
      <c r="V140" s="149"/>
      <c r="W140" s="150"/>
      <c r="X140" s="151"/>
      <c r="Y140" s="151"/>
      <c r="Z140" s="149"/>
      <c r="AA140" s="149"/>
      <c r="AB140" s="149"/>
      <c r="AC140" s="149"/>
      <c r="AD140" s="149"/>
      <c r="AE140" s="152"/>
      <c r="AF140" s="153"/>
    </row>
    <row r="141" spans="1:32" s="118" customFormat="1" outlineLevel="1" x14ac:dyDescent="0.3">
      <c r="A141" s="129"/>
      <c r="B141" s="149"/>
      <c r="C141" s="130"/>
      <c r="D141" s="130"/>
      <c r="E141" s="130"/>
      <c r="F141" s="130"/>
      <c r="G141" s="130"/>
      <c r="H141" s="130"/>
      <c r="I141" s="130"/>
      <c r="J141" s="130"/>
      <c r="K141" s="130"/>
      <c r="L141" s="130"/>
      <c r="M141" s="130"/>
      <c r="N141" s="130"/>
      <c r="O141" s="130"/>
      <c r="P141" s="130"/>
      <c r="Q141" s="130"/>
      <c r="R141" s="149"/>
      <c r="S141" s="149"/>
      <c r="T141" s="149"/>
      <c r="U141" s="149"/>
      <c r="V141" s="149"/>
      <c r="W141" s="150"/>
      <c r="X141" s="151"/>
      <c r="Y141" s="151"/>
      <c r="Z141" s="149"/>
      <c r="AA141" s="149"/>
      <c r="AB141" s="149"/>
      <c r="AC141" s="149"/>
      <c r="AD141" s="149"/>
      <c r="AE141" s="152"/>
      <c r="AF141" s="153"/>
    </row>
    <row r="142" spans="1:32" s="118" customFormat="1" outlineLevel="1" x14ac:dyDescent="0.3">
      <c r="A142" s="129"/>
      <c r="B142" s="149"/>
      <c r="C142" s="130"/>
      <c r="D142" s="130"/>
      <c r="E142" s="130"/>
      <c r="F142" s="130"/>
      <c r="G142" s="130"/>
      <c r="H142" s="130"/>
      <c r="I142" s="130"/>
      <c r="J142" s="130"/>
      <c r="K142" s="130"/>
      <c r="L142" s="130"/>
      <c r="M142" s="130"/>
      <c r="N142" s="130"/>
      <c r="O142" s="130"/>
      <c r="P142" s="130"/>
      <c r="Q142" s="130"/>
      <c r="R142" s="149"/>
      <c r="S142" s="149"/>
      <c r="T142" s="149"/>
      <c r="U142" s="149"/>
      <c r="V142" s="149"/>
      <c r="W142" s="150"/>
      <c r="X142" s="151"/>
      <c r="Y142" s="151"/>
      <c r="Z142" s="149"/>
      <c r="AA142" s="149"/>
      <c r="AB142" s="149"/>
      <c r="AC142" s="149"/>
      <c r="AD142" s="149"/>
      <c r="AE142" s="152"/>
      <c r="AF142" s="153"/>
    </row>
    <row r="143" spans="1:32" s="118" customFormat="1" outlineLevel="1" x14ac:dyDescent="0.3">
      <c r="A143" s="129"/>
      <c r="B143" s="149"/>
      <c r="C143" s="130"/>
      <c r="D143" s="130"/>
      <c r="E143" s="130"/>
      <c r="F143" s="130"/>
      <c r="G143" s="130"/>
      <c r="H143" s="130"/>
      <c r="I143" s="130"/>
      <c r="J143" s="130"/>
      <c r="K143" s="130"/>
      <c r="L143" s="130"/>
      <c r="M143" s="130"/>
      <c r="N143" s="130"/>
      <c r="O143" s="130"/>
      <c r="P143" s="130"/>
      <c r="Q143" s="130"/>
      <c r="R143" s="149"/>
      <c r="S143" s="149"/>
      <c r="T143" s="149"/>
      <c r="U143" s="149"/>
      <c r="V143" s="149"/>
      <c r="W143" s="150"/>
      <c r="X143" s="151"/>
      <c r="Y143" s="151"/>
      <c r="Z143" s="149"/>
      <c r="AA143" s="149"/>
      <c r="AB143" s="149"/>
      <c r="AC143" s="149"/>
      <c r="AD143" s="149"/>
      <c r="AE143" s="152"/>
      <c r="AF143" s="153"/>
    </row>
    <row r="144" spans="1:32" s="118" customFormat="1" outlineLevel="1" x14ac:dyDescent="0.3">
      <c r="A144" s="129"/>
      <c r="B144" s="149"/>
      <c r="C144" s="130"/>
      <c r="D144" s="130"/>
      <c r="E144" s="130"/>
      <c r="F144" s="130"/>
      <c r="G144" s="130"/>
      <c r="H144" s="130"/>
      <c r="I144" s="130"/>
      <c r="J144" s="130"/>
      <c r="K144" s="130"/>
      <c r="L144" s="130"/>
      <c r="M144" s="130"/>
      <c r="N144" s="130"/>
      <c r="O144" s="130"/>
      <c r="P144" s="130"/>
      <c r="Q144" s="130"/>
      <c r="R144" s="149"/>
      <c r="S144" s="149"/>
      <c r="T144" s="149"/>
      <c r="U144" s="149"/>
      <c r="V144" s="149"/>
      <c r="W144" s="150"/>
      <c r="X144" s="151"/>
      <c r="Y144" s="151"/>
      <c r="Z144" s="149"/>
      <c r="AA144" s="149"/>
      <c r="AB144" s="149"/>
      <c r="AC144" s="149"/>
      <c r="AD144" s="149"/>
      <c r="AE144" s="152"/>
      <c r="AF144" s="153"/>
    </row>
    <row r="145" spans="1:48" s="118" customFormat="1" outlineLevel="1" x14ac:dyDescent="0.3">
      <c r="A145" s="129"/>
      <c r="B145" s="149"/>
      <c r="C145" s="130"/>
      <c r="D145" s="130"/>
      <c r="E145" s="130"/>
      <c r="F145" s="130"/>
      <c r="G145" s="130"/>
      <c r="H145" s="130"/>
      <c r="I145" s="130"/>
      <c r="J145" s="130"/>
      <c r="K145" s="130"/>
      <c r="L145" s="130"/>
      <c r="M145" s="130"/>
      <c r="N145" s="130"/>
      <c r="O145" s="130"/>
      <c r="P145" s="130"/>
      <c r="Q145" s="130"/>
      <c r="R145" s="149"/>
      <c r="S145" s="149"/>
      <c r="T145" s="149"/>
      <c r="U145" s="149"/>
      <c r="V145" s="149"/>
      <c r="W145" s="150"/>
      <c r="X145" s="151"/>
      <c r="Y145" s="151"/>
      <c r="Z145" s="149"/>
      <c r="AA145" s="149"/>
      <c r="AB145" s="149"/>
      <c r="AC145" s="149"/>
      <c r="AD145" s="149"/>
      <c r="AE145" s="152"/>
      <c r="AF145" s="153"/>
    </row>
    <row r="146" spans="1:48" s="118" customFormat="1" outlineLevel="1" x14ac:dyDescent="0.3">
      <c r="A146" s="129"/>
      <c r="B146" s="149"/>
      <c r="C146" s="130"/>
      <c r="D146" s="130"/>
      <c r="E146" s="130"/>
      <c r="F146" s="130"/>
      <c r="G146" s="130"/>
      <c r="H146" s="130"/>
      <c r="I146" s="130"/>
      <c r="J146" s="130"/>
      <c r="K146" s="130"/>
      <c r="L146" s="130"/>
      <c r="M146" s="130"/>
      <c r="N146" s="130"/>
      <c r="O146" s="130"/>
      <c r="P146" s="130"/>
      <c r="Q146" s="130"/>
      <c r="R146" s="149"/>
      <c r="S146" s="149"/>
      <c r="T146" s="149"/>
      <c r="U146" s="149"/>
      <c r="V146" s="149"/>
      <c r="W146" s="150"/>
      <c r="X146" s="151"/>
      <c r="Y146" s="151"/>
      <c r="Z146" s="149"/>
      <c r="AA146" s="149"/>
      <c r="AB146" s="149"/>
      <c r="AC146" s="149"/>
      <c r="AD146" s="149"/>
      <c r="AE146" s="152"/>
      <c r="AF146" s="153"/>
    </row>
    <row r="147" spans="1:48" s="118" customFormat="1" outlineLevel="1" x14ac:dyDescent="0.3">
      <c r="A147" s="129"/>
      <c r="B147" s="149"/>
      <c r="C147" s="130"/>
      <c r="D147" s="130"/>
      <c r="E147" s="130"/>
      <c r="F147" s="130"/>
      <c r="G147" s="130"/>
      <c r="H147" s="130"/>
      <c r="I147" s="130"/>
      <c r="J147" s="130"/>
      <c r="K147" s="130"/>
      <c r="L147" s="130"/>
      <c r="M147" s="130"/>
      <c r="N147" s="130"/>
      <c r="O147" s="130"/>
      <c r="P147" s="130"/>
      <c r="Q147" s="130"/>
      <c r="R147" s="149"/>
      <c r="S147" s="149"/>
      <c r="T147" s="149"/>
      <c r="U147" s="149"/>
      <c r="V147" s="149"/>
      <c r="W147" s="150"/>
      <c r="X147" s="151"/>
      <c r="Y147" s="151"/>
      <c r="Z147" s="149"/>
      <c r="AA147" s="149"/>
      <c r="AB147" s="149"/>
      <c r="AC147" s="149"/>
      <c r="AD147" s="149"/>
      <c r="AE147" s="152"/>
      <c r="AF147" s="153"/>
    </row>
    <row r="148" spans="1:48" s="118" customFormat="1" outlineLevel="1" x14ac:dyDescent="0.3">
      <c r="A148" s="129"/>
      <c r="B148" s="149"/>
      <c r="C148" s="130"/>
      <c r="D148" s="130"/>
      <c r="E148" s="130"/>
      <c r="F148" s="130"/>
      <c r="G148" s="130"/>
      <c r="H148" s="130"/>
      <c r="I148" s="130"/>
      <c r="J148" s="130"/>
      <c r="K148" s="130"/>
      <c r="L148" s="130"/>
      <c r="M148" s="130"/>
      <c r="N148" s="130"/>
      <c r="O148" s="130"/>
      <c r="P148" s="130"/>
      <c r="Q148" s="130"/>
      <c r="R148" s="149"/>
      <c r="S148" s="149"/>
      <c r="T148" s="149"/>
      <c r="U148" s="149"/>
      <c r="V148" s="149"/>
      <c r="W148" s="150"/>
      <c r="X148" s="151"/>
      <c r="Y148" s="151"/>
      <c r="Z148" s="149"/>
      <c r="AA148" s="149"/>
      <c r="AB148" s="149"/>
      <c r="AC148" s="149"/>
      <c r="AD148" s="149"/>
      <c r="AE148" s="152"/>
      <c r="AF148" s="153"/>
    </row>
    <row r="149" spans="1:48" s="118" customFormat="1" outlineLevel="1" x14ac:dyDescent="0.3">
      <c r="A149" s="129"/>
      <c r="B149" s="149"/>
      <c r="C149" s="130"/>
      <c r="D149" s="130"/>
      <c r="E149" s="130"/>
      <c r="F149" s="130"/>
      <c r="G149" s="130"/>
      <c r="H149" s="130"/>
      <c r="I149" s="130"/>
      <c r="J149" s="130"/>
      <c r="K149" s="130"/>
      <c r="L149" s="130"/>
      <c r="M149" s="130"/>
      <c r="N149" s="130"/>
      <c r="O149" s="130"/>
      <c r="P149" s="130"/>
      <c r="Q149" s="130"/>
      <c r="R149" s="149"/>
      <c r="S149" s="149"/>
      <c r="T149" s="149"/>
      <c r="U149" s="149"/>
      <c r="V149" s="149"/>
      <c r="W149" s="150"/>
      <c r="X149" s="151"/>
      <c r="Y149" s="151"/>
      <c r="Z149" s="149"/>
      <c r="AA149" s="149"/>
      <c r="AB149" s="149"/>
      <c r="AC149" s="149"/>
      <c r="AD149" s="149"/>
      <c r="AE149" s="152"/>
      <c r="AF149" s="153"/>
    </row>
    <row r="150" spans="1:48" s="118" customFormat="1" outlineLevel="1" x14ac:dyDescent="0.3">
      <c r="A150" s="129"/>
      <c r="B150" s="149"/>
      <c r="C150" s="130"/>
      <c r="D150" s="130"/>
      <c r="E150" s="130"/>
      <c r="F150" s="130"/>
      <c r="G150" s="130"/>
      <c r="H150" s="130"/>
      <c r="I150" s="130"/>
      <c r="J150" s="130"/>
      <c r="K150" s="130"/>
      <c r="L150" s="130"/>
      <c r="M150" s="130"/>
      <c r="N150" s="130"/>
      <c r="O150" s="130"/>
      <c r="P150" s="130"/>
      <c r="Q150" s="130"/>
      <c r="R150" s="149"/>
      <c r="S150" s="149"/>
      <c r="T150" s="149"/>
      <c r="U150" s="149"/>
      <c r="V150" s="149"/>
      <c r="W150" s="150"/>
      <c r="X150" s="151"/>
      <c r="Y150" s="151"/>
      <c r="Z150" s="149"/>
      <c r="AA150" s="149"/>
      <c r="AB150" s="149"/>
      <c r="AC150" s="149"/>
      <c r="AD150" s="149"/>
      <c r="AE150" s="152"/>
      <c r="AF150" s="153"/>
    </row>
    <row r="151" spans="1:48" outlineLevel="1" x14ac:dyDescent="0.3">
      <c r="B151" s="124"/>
      <c r="C151" s="124"/>
      <c r="D151" s="124"/>
      <c r="E151" s="124"/>
      <c r="F151" s="124"/>
      <c r="G151" s="124"/>
      <c r="H151" s="124"/>
      <c r="I151" s="124"/>
      <c r="J151" s="124"/>
      <c r="K151" s="124"/>
      <c r="L151" s="124"/>
      <c r="M151" s="124"/>
      <c r="N151" s="124"/>
      <c r="O151" s="124"/>
      <c r="P151" s="124"/>
      <c r="Q151" s="124"/>
      <c r="R151" s="124"/>
      <c r="S151" s="124"/>
      <c r="T151" s="124"/>
      <c r="U151" s="124"/>
      <c r="V151" s="124"/>
      <c r="Y151" s="78"/>
      <c r="Z151" s="121"/>
      <c r="AA151" s="121"/>
      <c r="AB151" s="121"/>
      <c r="AC151" s="121"/>
      <c r="AD151" s="121"/>
      <c r="AE151" s="175"/>
    </row>
    <row r="152" spans="1:48" x14ac:dyDescent="0.3">
      <c r="B152" s="124"/>
      <c r="C152" s="124"/>
      <c r="D152" s="124"/>
      <c r="E152" s="124"/>
      <c r="F152" s="124"/>
      <c r="G152" s="124"/>
      <c r="H152" s="124"/>
      <c r="I152" s="124"/>
      <c r="J152" s="124"/>
      <c r="K152" s="124"/>
      <c r="L152" s="124"/>
      <c r="M152" s="124"/>
      <c r="N152" s="124"/>
      <c r="O152" s="124"/>
      <c r="P152" s="124"/>
      <c r="Q152" s="124"/>
      <c r="R152" s="124"/>
      <c r="S152" s="124"/>
      <c r="T152" s="124"/>
      <c r="U152" s="124"/>
      <c r="V152" s="124"/>
      <c r="Y152" s="78"/>
      <c r="Z152" s="121"/>
      <c r="AA152" s="121"/>
      <c r="AB152" s="121"/>
      <c r="AC152" s="121"/>
      <c r="AD152" s="121"/>
      <c r="AE152" s="175"/>
    </row>
    <row r="153" spans="1:48" s="102" customFormat="1" x14ac:dyDescent="0.3">
      <c r="A153" s="176" t="s">
        <v>134</v>
      </c>
      <c r="B153" s="177"/>
      <c r="C153" s="137"/>
      <c r="D153" s="137"/>
      <c r="E153" s="137"/>
      <c r="F153" s="137"/>
      <c r="G153" s="137"/>
      <c r="H153" s="137"/>
      <c r="I153" s="137"/>
      <c r="J153" s="137"/>
      <c r="K153" s="137"/>
      <c r="L153" s="137"/>
      <c r="M153" s="137"/>
      <c r="N153" s="137"/>
      <c r="O153" s="137"/>
      <c r="P153" s="137"/>
      <c r="Q153" s="137"/>
      <c r="R153" s="137"/>
      <c r="S153" s="137"/>
      <c r="T153" s="137"/>
      <c r="U153" s="137"/>
      <c r="V153" s="137"/>
      <c r="W153" s="178"/>
      <c r="X153" s="179"/>
      <c r="Y153" s="179"/>
      <c r="Z153" s="180"/>
      <c r="AA153" s="180"/>
      <c r="AB153" s="180"/>
      <c r="AC153" s="180"/>
      <c r="AD153" s="180"/>
      <c r="AE153" s="181"/>
      <c r="AL153" s="79"/>
      <c r="AM153" s="79"/>
      <c r="AN153" s="79"/>
      <c r="AO153" s="79"/>
      <c r="AP153" s="79"/>
      <c r="AQ153" s="79"/>
      <c r="AR153" s="79"/>
      <c r="AS153" s="79"/>
      <c r="AT153" s="79"/>
      <c r="AU153" s="79"/>
      <c r="AV153" s="79"/>
    </row>
    <row r="154" spans="1:48" outlineLevel="1" x14ac:dyDescent="0.3">
      <c r="A154" s="182" t="s">
        <v>135</v>
      </c>
      <c r="B154" s="140" t="str">
        <f>CHOOSE(IF($B$1=2,2,1),'GAAP-IFRS'!E28,IF('Broker Actual'!E28="-",'GAAP-IFRS'!E28,'Broker Actual'!E28))</f>
        <v/>
      </c>
      <c r="C154" s="140" t="str">
        <f>CHOOSE(IF($B$1=2,2,1),'GAAP-IFRS'!F28,IF('Broker Actual'!F28="-",'GAAP-IFRS'!F28,'Broker Actual'!F28))</f>
        <v/>
      </c>
      <c r="D154" s="140" t="str">
        <f>CHOOSE(IF($B$1=2,2,1),'GAAP-IFRS'!G28,IF('Broker Actual'!G28="-",'GAAP-IFRS'!G28,'Broker Actual'!G28))</f>
        <v/>
      </c>
      <c r="E154" s="140" t="str">
        <f>CHOOSE(IF($B$1=2,2,1),'GAAP-IFRS'!H28,IF('Broker Actual'!H28="-",'GAAP-IFRS'!H28,'Broker Actual'!H28))</f>
        <v/>
      </c>
      <c r="F154" s="140" t="str">
        <f>CHOOSE(IF($B$1=2,2,1),'GAAP-IFRS'!I28,IF('Broker Actual'!I28="-",'GAAP-IFRS'!I28,'Broker Actual'!I28))</f>
        <v/>
      </c>
      <c r="G154" s="140" t="str">
        <f>CHOOSE(IF($B$1=2,2,1),'GAAP-IFRS'!J28,IF('Broker Actual'!J28="-",'GAAP-IFRS'!J28,'Broker Actual'!J28))</f>
        <v/>
      </c>
      <c r="H154" s="140" t="str">
        <f>CHOOSE(IF($B$1=2,2,1),'GAAP-IFRS'!K28,IF('Broker Actual'!K28="-",'GAAP-IFRS'!K28,'Broker Actual'!K28))</f>
        <v/>
      </c>
      <c r="I154" s="140" t="str">
        <f>CHOOSE(IF($B$1=2,2,1),'GAAP-IFRS'!L28,IF('Broker Actual'!L28="-",'GAAP-IFRS'!L28,'Broker Actual'!L28))</f>
        <v/>
      </c>
      <c r="J154" s="140" t="str">
        <f>CHOOSE(IF($B$1=2,2,1),'GAAP-IFRS'!M28,IF('Broker Actual'!M28="-",'GAAP-IFRS'!M28,'Broker Actual'!M28))</f>
        <v/>
      </c>
      <c r="K154" s="140" t="str">
        <f>CHOOSE(IF($B$1=2,2,1),'GAAP-IFRS'!N28,IF('Broker Actual'!N28="-",'GAAP-IFRS'!N28,'Broker Actual'!N28))</f>
        <v/>
      </c>
      <c r="L154" s="140" t="str">
        <f>CHOOSE(IF($B$1=2,2,1),'GAAP-IFRS'!O28,IF('Broker Actual'!O28="-",'GAAP-IFRS'!O28,'Broker Actual'!O28))</f>
        <v/>
      </c>
      <c r="M154" s="124"/>
      <c r="N154" s="124"/>
      <c r="O154" s="124"/>
      <c r="P154" s="124"/>
      <c r="Q154" s="124"/>
      <c r="R154" s="124"/>
      <c r="S154" s="124"/>
      <c r="T154" s="124"/>
      <c r="U154" s="124"/>
      <c r="V154" s="124"/>
      <c r="W154" s="125"/>
      <c r="X154" s="126"/>
      <c r="Y154" s="126"/>
      <c r="Z154" s="124"/>
      <c r="AA154" s="124"/>
      <c r="AB154" s="124"/>
      <c r="AC154" s="124"/>
      <c r="AD154" s="124"/>
      <c r="AE154" s="127"/>
    </row>
    <row r="155" spans="1:48" outlineLevel="1" x14ac:dyDescent="0.3">
      <c r="A155" s="182" t="s">
        <v>136</v>
      </c>
      <c r="B155" s="140"/>
      <c r="C155" s="140"/>
      <c r="D155" s="140"/>
      <c r="E155" s="140"/>
      <c r="F155" s="140"/>
      <c r="G155" s="140"/>
      <c r="H155" s="140"/>
      <c r="I155" s="140"/>
      <c r="J155" s="140"/>
      <c r="K155" s="140"/>
      <c r="L155" s="140"/>
      <c r="M155" s="141">
        <f>M156*M$57</f>
        <v>0</v>
      </c>
      <c r="N155" s="141">
        <f t="shared" ref="N155:Q155" si="88">N156*N$57</f>
        <v>0</v>
      </c>
      <c r="O155" s="141">
        <f t="shared" si="88"/>
        <v>0</v>
      </c>
      <c r="P155" s="141">
        <f t="shared" si="88"/>
        <v>0</v>
      </c>
      <c r="Q155" s="141">
        <f t="shared" si="88"/>
        <v>0</v>
      </c>
      <c r="R155" s="124"/>
      <c r="S155" s="124"/>
      <c r="T155" s="124"/>
      <c r="U155" s="124"/>
      <c r="V155" s="124"/>
      <c r="W155" s="125"/>
      <c r="X155" s="126"/>
      <c r="Y155" s="126"/>
      <c r="Z155" s="124"/>
      <c r="AA155" s="124"/>
      <c r="AB155" s="124"/>
      <c r="AC155" s="124"/>
      <c r="AD155" s="124"/>
      <c r="AE155" s="127"/>
    </row>
    <row r="156" spans="1:48" ht="13.35" customHeight="1" outlineLevel="1" x14ac:dyDescent="0.3">
      <c r="A156" s="183" t="s">
        <v>137</v>
      </c>
      <c r="B156" s="130">
        <f>B155/B57</f>
        <v>0</v>
      </c>
      <c r="C156" s="130">
        <f>C155/C$57</f>
        <v>0</v>
      </c>
      <c r="D156" s="130">
        <f t="shared" ref="D156:L156" si="89">D155/D$57</f>
        <v>0</v>
      </c>
      <c r="E156" s="130">
        <f t="shared" si="89"/>
        <v>0</v>
      </c>
      <c r="F156" s="130">
        <f t="shared" si="89"/>
        <v>0</v>
      </c>
      <c r="G156" s="130">
        <f t="shared" si="89"/>
        <v>0</v>
      </c>
      <c r="H156" s="130">
        <f t="shared" si="89"/>
        <v>0</v>
      </c>
      <c r="I156" s="130">
        <f t="shared" si="89"/>
        <v>0</v>
      </c>
      <c r="J156" s="130">
        <f t="shared" si="89"/>
        <v>0</v>
      </c>
      <c r="K156" s="130">
        <f t="shared" si="89"/>
        <v>0</v>
      </c>
      <c r="L156" s="130">
        <f t="shared" si="89"/>
        <v>0</v>
      </c>
      <c r="M156" s="123">
        <v>0</v>
      </c>
      <c r="N156" s="123">
        <f>M156</f>
        <v>0</v>
      </c>
      <c r="O156" s="123">
        <f t="shared" ref="O156:Q156" si="90">N156</f>
        <v>0</v>
      </c>
      <c r="P156" s="123">
        <f t="shared" si="90"/>
        <v>0</v>
      </c>
      <c r="Q156" s="123">
        <f t="shared" si="90"/>
        <v>0</v>
      </c>
      <c r="R156" s="124"/>
      <c r="S156" s="124"/>
      <c r="T156" s="124"/>
      <c r="U156" s="124"/>
      <c r="V156" s="124"/>
      <c r="W156" s="125"/>
      <c r="X156" s="126"/>
      <c r="Y156" s="126"/>
      <c r="Z156" s="124"/>
      <c r="AA156" s="124"/>
      <c r="AB156" s="124"/>
      <c r="AC156" s="124"/>
      <c r="AD156" s="124"/>
      <c r="AE156" s="127"/>
    </row>
    <row r="157" spans="1:48" outlineLevel="1" x14ac:dyDescent="0.3">
      <c r="A157" s="182" t="s">
        <v>138</v>
      </c>
      <c r="B157" s="140"/>
      <c r="C157" s="140"/>
      <c r="D157" s="140"/>
      <c r="E157" s="140"/>
      <c r="F157" s="140"/>
      <c r="G157" s="140"/>
      <c r="H157" s="140"/>
      <c r="I157" s="140"/>
      <c r="J157" s="140"/>
      <c r="K157" s="140"/>
      <c r="L157" s="140"/>
      <c r="M157" s="141">
        <f>M158*M$57</f>
        <v>0</v>
      </c>
      <c r="N157" s="141">
        <f t="shared" ref="N157:Q157" si="91">N158*N$57</f>
        <v>0</v>
      </c>
      <c r="O157" s="141">
        <f t="shared" si="91"/>
        <v>0</v>
      </c>
      <c r="P157" s="141">
        <f t="shared" si="91"/>
        <v>0</v>
      </c>
      <c r="Q157" s="141">
        <f t="shared" si="91"/>
        <v>0</v>
      </c>
      <c r="R157" s="124"/>
      <c r="S157" s="124"/>
      <c r="T157" s="124"/>
      <c r="U157" s="124"/>
      <c r="V157" s="124"/>
      <c r="W157" s="125"/>
      <c r="X157" s="126" t="s">
        <v>91</v>
      </c>
      <c r="Y157" s="126" t="s">
        <v>139</v>
      </c>
      <c r="Z157" s="124" t="str" cm="1">
        <f t="array" ref="Z157">_xll.FDSC("--",$A$1,""&amp;$X157&amp;"("&amp;$Y157&amp;","&amp;D$2&amp;",ANNUAL_ROLL,+1,0,,,'CURRENCY="&amp;$E$1&amp;"')")</f>
        <v>--</v>
      </c>
      <c r="AA157" s="124" t="str" cm="1">
        <f t="array" ref="AA157">_xll.FDSC("--",$A$1,""&amp;$X157&amp;"("&amp;$Y157&amp;","&amp;D$2&amp;",ANNUAL_ROLL,+2,0,,,'CURRENCY="&amp;$E$1&amp;"')")</f>
        <v>--</v>
      </c>
      <c r="AB157" s="124" t="str" cm="1">
        <f t="array" ref="AB157">_xll.FDSC("--",$A$1,""&amp;$X157&amp;"("&amp;$Y157&amp;","&amp;D$2&amp;",ANNUAL_ROLL,+3,0,,,'CURRENCY="&amp;$E$1&amp;"')")</f>
        <v>--</v>
      </c>
      <c r="AC157" s="124"/>
      <c r="AD157" s="124"/>
      <c r="AE157" s="127"/>
    </row>
    <row r="158" spans="1:48" outlineLevel="1" x14ac:dyDescent="0.3">
      <c r="A158" s="183" t="s">
        <v>137</v>
      </c>
      <c r="B158" s="130">
        <f>B157/B57</f>
        <v>0</v>
      </c>
      <c r="C158" s="130">
        <f t="shared" ref="C158:L158" si="92">C157/C$57</f>
        <v>0</v>
      </c>
      <c r="D158" s="130">
        <f t="shared" si="92"/>
        <v>0</v>
      </c>
      <c r="E158" s="130">
        <f t="shared" si="92"/>
        <v>0</v>
      </c>
      <c r="F158" s="130">
        <f t="shared" si="92"/>
        <v>0</v>
      </c>
      <c r="G158" s="130">
        <f t="shared" si="92"/>
        <v>0</v>
      </c>
      <c r="H158" s="130">
        <f t="shared" si="92"/>
        <v>0</v>
      </c>
      <c r="I158" s="130">
        <f t="shared" si="92"/>
        <v>0</v>
      </c>
      <c r="J158" s="130">
        <f t="shared" si="92"/>
        <v>0</v>
      </c>
      <c r="K158" s="130">
        <f t="shared" si="92"/>
        <v>0</v>
      </c>
      <c r="L158" s="130">
        <f t="shared" si="92"/>
        <v>0</v>
      </c>
      <c r="M158" s="123">
        <v>0</v>
      </c>
      <c r="N158" s="123">
        <f>M158</f>
        <v>0</v>
      </c>
      <c r="O158" s="123">
        <f t="shared" ref="O158:Q158" si="93">N158</f>
        <v>0</v>
      </c>
      <c r="P158" s="123">
        <f t="shared" si="93"/>
        <v>0</v>
      </c>
      <c r="Q158" s="123">
        <f t="shared" si="93"/>
        <v>0</v>
      </c>
      <c r="R158" s="124"/>
      <c r="S158" s="124"/>
      <c r="T158" s="124"/>
      <c r="U158" s="124"/>
      <c r="V158" s="124"/>
      <c r="W158" s="125"/>
      <c r="X158" s="126"/>
      <c r="Y158" s="126"/>
      <c r="Z158" s="124"/>
      <c r="AA158" s="124"/>
      <c r="AB158" s="124"/>
      <c r="AC158" s="124"/>
      <c r="AD158" s="124"/>
      <c r="AE158" s="127"/>
    </row>
    <row r="159" spans="1:48" outlineLevel="1" x14ac:dyDescent="0.3">
      <c r="A159" s="182" t="s">
        <v>140</v>
      </c>
      <c r="B159" s="140">
        <f>CHOOSE(IF($B$1=2,2,1),'GAAP-IFRS'!E32,IF('Broker Actual'!E32="-",'GAAP-IFRS'!E32,'Broker Actual'!E32))</f>
        <v>242.495</v>
      </c>
      <c r="C159" s="140">
        <f>CHOOSE(IF($B$1=2,2,1),'GAAP-IFRS'!F32,IF('Broker Actual'!F32="-",'GAAP-IFRS'!F32,'Broker Actual'!F32))</f>
        <v>320.40100000000001</v>
      </c>
      <c r="D159" s="140">
        <f>CHOOSE(IF($B$1=2,2,1),'GAAP-IFRS'!G32,IF('Broker Actual'!G32="-",'GAAP-IFRS'!G32,'Broker Actual'!G32))</f>
        <v>363.06700000000001</v>
      </c>
      <c r="E159" s="140">
        <f>CHOOSE(IF($B$1=2,2,1),'GAAP-IFRS'!H32,IF('Broker Actual'!H32="-",'GAAP-IFRS'!H32,'Broker Actual'!H32))</f>
        <v>329.92500000000001</v>
      </c>
      <c r="F159" s="140">
        <f>CHOOSE(IF($B$1=2,2,1),'GAAP-IFRS'!I32,IF('Broker Actual'!I32="-",'GAAP-IFRS'!I32,'Broker Actual'!I32))</f>
        <v>311.34399999999999</v>
      </c>
      <c r="G159" s="140">
        <f>CHOOSE(IF($B$1=2,2,1),'GAAP-IFRS'!J32,IF('Broker Actual'!J32="-",'GAAP-IFRS'!J32,'Broker Actual'!J32))</f>
        <v>330.43200000000002</v>
      </c>
      <c r="H159" s="140">
        <f>CHOOSE(IF($B$1=2,2,1),'GAAP-IFRS'!K32,IF('Broker Actual'!K32="-",'GAAP-IFRS'!K32,'Broker Actual'!K32))</f>
        <v>379.77699999999999</v>
      </c>
      <c r="I159" s="140">
        <f>CHOOSE(IF($B$1=2,2,1),'GAAP-IFRS'!L32,IF('Broker Actual'!L32="-",'GAAP-IFRS'!L32,'Broker Actual'!L32))</f>
        <v>326.22899999999998</v>
      </c>
      <c r="J159" s="140">
        <f>CHOOSE(IF($B$1=2,2,1),'GAAP-IFRS'!M32,IF('Broker Actual'!M32="-",'GAAP-IFRS'!M32,'Broker Actual'!M32))</f>
        <v>539.44299999999998</v>
      </c>
      <c r="K159" s="140">
        <f>CHOOSE(IF($B$1=2,2,1),'GAAP-IFRS'!N32,IF('Broker Actual'!N32="-",'GAAP-IFRS'!N32,'Broker Actual'!N32))</f>
        <v>717.827</v>
      </c>
      <c r="L159" s="140">
        <f>CHOOSE(IF($B$1=2,2,1),'GAAP-IFRS'!O32,IF('Broker Actual'!O32="-",'GAAP-IFRS'!O32,'Broker Actual'!O32))</f>
        <v>559.19000000000005</v>
      </c>
      <c r="M159" s="124"/>
      <c r="N159" s="124"/>
      <c r="O159" s="124"/>
      <c r="P159" s="124"/>
      <c r="Q159" s="124"/>
      <c r="R159" s="124"/>
      <c r="S159" s="124"/>
      <c r="T159" s="124"/>
      <c r="U159" s="124"/>
      <c r="V159" s="124"/>
      <c r="W159" s="125"/>
      <c r="X159" s="126" t="s">
        <v>91</v>
      </c>
      <c r="Y159" s="126" t="s">
        <v>141</v>
      </c>
      <c r="Z159" s="124" t="str" cm="1">
        <f t="array" ref="Z159">_xll.FDSC("--",$A$1,""&amp;$X159&amp;"("&amp;$Y159&amp;","&amp;D$2&amp;",ANNUAL_ROLL,+1,0,,,'CURRENCY="&amp;$E$1&amp;"')")</f>
        <v>--</v>
      </c>
      <c r="AA159" s="124" t="str" cm="1">
        <f t="array" ref="AA159">_xll.FDSC("--",$A$1,""&amp;$X159&amp;"("&amp;$Y159&amp;","&amp;D$2&amp;",ANNUAL_ROLL,+2,0,,,'CURRENCY="&amp;$E$1&amp;"')")</f>
        <v>--</v>
      </c>
      <c r="AB159" s="124" t="str" cm="1">
        <f t="array" ref="AB159">_xll.FDSC("--",$A$1,""&amp;$X159&amp;"("&amp;$Y159&amp;","&amp;D$2&amp;",ANNUAL_ROLL,+3,0,,,'CURRENCY="&amp;$E$1&amp;"')")</f>
        <v>--</v>
      </c>
      <c r="AC159" s="124"/>
      <c r="AD159" s="124"/>
      <c r="AE159" s="127"/>
    </row>
    <row r="160" spans="1:48" outlineLevel="1" x14ac:dyDescent="0.3">
      <c r="A160" s="182" t="s">
        <v>142</v>
      </c>
      <c r="B160" s="140">
        <f>CHOOSE(IF($B$1=2,2,1),'GAAP-IFRS'!E33,IF('Broker Actual'!E33="-",'GAAP-IFRS'!E33,'Broker Actual'!E33))</f>
        <v>10.853</v>
      </c>
      <c r="C160" s="140">
        <f>CHOOSE(IF($B$1=2,2,1),'GAAP-IFRS'!F33,IF('Broker Actual'!F33="-",'GAAP-IFRS'!F33,'Broker Actual'!F33))</f>
        <v>13.132</v>
      </c>
      <c r="D160" s="140">
        <f>CHOOSE(IF($B$1=2,2,1),'GAAP-IFRS'!G33,IF('Broker Actual'!G33="-",'GAAP-IFRS'!G33,'Broker Actual'!G33))</f>
        <v>12.292</v>
      </c>
      <c r="E160" s="140">
        <f>CHOOSE(IF($B$1=2,2,1),'GAAP-IFRS'!H33,IF('Broker Actual'!H33="-",'GAAP-IFRS'!H33,'Broker Actual'!H33))</f>
        <v>11.786</v>
      </c>
      <c r="F160" s="140">
        <f>CHOOSE(IF($B$1=2,2,1),'GAAP-IFRS'!I33,IF('Broker Actual'!I33="-",'GAAP-IFRS'!I33,'Broker Actual'!I33))</f>
        <v>11.374000000000001</v>
      </c>
      <c r="G160" s="140">
        <f>CHOOSE(IF($B$1=2,2,1),'GAAP-IFRS'!J33,IF('Broker Actual'!J33="-",'GAAP-IFRS'!J33,'Broker Actual'!J33))</f>
        <v>12.465</v>
      </c>
      <c r="H160" s="140">
        <f>CHOOSE(IF($B$1=2,2,1),'GAAP-IFRS'!K33,IF('Broker Actual'!K33="-",'GAAP-IFRS'!K33,'Broker Actual'!K33))</f>
        <v>13.337999999999999</v>
      </c>
      <c r="I160" s="140">
        <f>CHOOSE(IF($B$1=2,2,1),'GAAP-IFRS'!L33,IF('Broker Actual'!L33="-",'GAAP-IFRS'!L33,'Broker Actual'!L33))</f>
        <v>15.182</v>
      </c>
      <c r="J160" s="140">
        <f>CHOOSE(IF($B$1=2,2,1),'GAAP-IFRS'!M33,IF('Broker Actual'!M33="-",'GAAP-IFRS'!M33,'Broker Actual'!M33))</f>
        <v>16.768999999999998</v>
      </c>
      <c r="K160" s="140">
        <f>CHOOSE(IF($B$1=2,2,1),'GAAP-IFRS'!N33,IF('Broker Actual'!N33="-",'GAAP-IFRS'!N33,'Broker Actual'!N33))</f>
        <v>16.436</v>
      </c>
      <c r="L160" s="140">
        <f>CHOOSE(IF($B$1=2,2,1),'GAAP-IFRS'!O33,IF('Broker Actual'!O33="-",'GAAP-IFRS'!O33,'Broker Actual'!O33))</f>
        <v>18.687000000000001</v>
      </c>
      <c r="M160" s="124"/>
      <c r="N160" s="124"/>
      <c r="O160" s="124"/>
      <c r="P160" s="124"/>
      <c r="Q160" s="124"/>
      <c r="R160" s="124"/>
      <c r="S160" s="124"/>
      <c r="T160" s="124"/>
      <c r="U160" s="124"/>
      <c r="V160" s="124"/>
      <c r="W160" s="125"/>
      <c r="X160" s="126"/>
      <c r="Y160" s="126"/>
      <c r="Z160" s="124"/>
      <c r="AA160" s="124"/>
      <c r="AB160" s="124"/>
      <c r="AC160" s="124"/>
      <c r="AD160" s="124"/>
      <c r="AE160" s="127"/>
    </row>
    <row r="161" spans="1:31" outlineLevel="1" x14ac:dyDescent="0.3">
      <c r="A161" s="182" t="s">
        <v>143</v>
      </c>
      <c r="B161" s="140">
        <f>CHOOSE(IF($B$1=2,2,1),'GAAP-IFRS'!E34,IF('Broker Actual'!E34="-",'GAAP-IFRS'!E34,'Broker Actual'!E34))</f>
        <v>0</v>
      </c>
      <c r="C161" s="140">
        <f>CHOOSE(IF($B$1=2,2,1),'GAAP-IFRS'!F34,IF('Broker Actual'!F34="-",'GAAP-IFRS'!F34,'Broker Actual'!F34))</f>
        <v>0</v>
      </c>
      <c r="D161" s="140">
        <f>CHOOSE(IF($B$1=2,2,1),'GAAP-IFRS'!G34,IF('Broker Actual'!G34="-",'GAAP-IFRS'!G34,'Broker Actual'!G34))</f>
        <v>0</v>
      </c>
      <c r="E161" s="140">
        <f>CHOOSE(IF($B$1=2,2,1),'GAAP-IFRS'!H34,IF('Broker Actual'!H34="-",'GAAP-IFRS'!H34,'Broker Actual'!H34))</f>
        <v>0</v>
      </c>
      <c r="F161" s="140">
        <f>CHOOSE(IF($B$1=2,2,1),'GAAP-IFRS'!I34,IF('Broker Actual'!I34="-",'GAAP-IFRS'!I34,'Broker Actual'!I34))</f>
        <v>4.899</v>
      </c>
      <c r="G161" s="140">
        <f>CHOOSE(IF($B$1=2,2,1),'GAAP-IFRS'!J34,IF('Broker Actual'!J34="-",'GAAP-IFRS'!J34,'Broker Actual'!J34))</f>
        <v>4.9950000000000001</v>
      </c>
      <c r="H161" s="140">
        <f>CHOOSE(IF($B$1=2,2,1),'GAAP-IFRS'!K34,IF('Broker Actual'!K34="-",'GAAP-IFRS'!K34,'Broker Actual'!K34))</f>
        <v>4.8</v>
      </c>
      <c r="I161" s="140">
        <f>CHOOSE(IF($B$1=2,2,1),'GAAP-IFRS'!L34,IF('Broker Actual'!L34="-",'GAAP-IFRS'!L34,'Broker Actual'!L34))</f>
        <v>4.1920000000000002</v>
      </c>
      <c r="J161" s="140">
        <f>CHOOSE(IF($B$1=2,2,1),'GAAP-IFRS'!M34,IF('Broker Actual'!M34="-",'GAAP-IFRS'!M34,'Broker Actual'!M34))</f>
        <v>3.5680000000000001</v>
      </c>
      <c r="K161" s="140">
        <f>CHOOSE(IF($B$1=2,2,1),'GAAP-IFRS'!N34,IF('Broker Actual'!N34="-",'GAAP-IFRS'!N34,'Broker Actual'!N34))</f>
        <v>10.635999999999999</v>
      </c>
      <c r="L161" s="140">
        <f>CHOOSE(IF($B$1=2,2,1),'GAAP-IFRS'!O34,IF('Broker Actual'!O34="-",'GAAP-IFRS'!O34,'Broker Actual'!O34))</f>
        <v>10.577999999999999</v>
      </c>
      <c r="M161" s="124"/>
      <c r="N161" s="124"/>
      <c r="O161" s="124"/>
      <c r="P161" s="124"/>
      <c r="Q161" s="124"/>
      <c r="R161" s="124"/>
      <c r="S161" s="124"/>
      <c r="T161" s="124"/>
      <c r="U161" s="124"/>
      <c r="V161" s="124"/>
      <c r="W161" s="125"/>
      <c r="X161" s="126"/>
      <c r="Y161" s="126"/>
      <c r="Z161" s="124"/>
      <c r="AA161" s="124"/>
      <c r="AB161" s="124"/>
      <c r="AC161" s="124"/>
      <c r="AD161" s="124"/>
      <c r="AE161" s="127"/>
    </row>
    <row r="162" spans="1:31" outlineLevel="1" x14ac:dyDescent="0.3">
      <c r="A162" s="184" t="s">
        <v>144</v>
      </c>
      <c r="B162" s="140">
        <f>CHOOSE(IF($B$1=2,2,1),'GAAP-IFRS'!E35,IF('Broker Actual'!E35="-",'GAAP-IFRS'!E35,'Broker Actual'!E35))</f>
        <v>338.28800000000001</v>
      </c>
      <c r="C162" s="140">
        <f>CHOOSE(IF($B$1=2,2,1),'GAAP-IFRS'!F35,IF('Broker Actual'!F35="-",'GAAP-IFRS'!F35,'Broker Actual'!F35))</f>
        <v>510.30500000000001</v>
      </c>
      <c r="D162" s="140">
        <f>CHOOSE(IF($B$1=2,2,1),'GAAP-IFRS'!G35,IF('Broker Actual'!G35="-",'GAAP-IFRS'!G35,'Broker Actual'!G35))</f>
        <v>578.31700000000001</v>
      </c>
      <c r="E162" s="140">
        <f>CHOOSE(IF($B$1=2,2,1),'GAAP-IFRS'!H35,IF('Broker Actual'!H35="-",'GAAP-IFRS'!H35,'Broker Actual'!H35))</f>
        <v>609.78499999999997</v>
      </c>
      <c r="F162" s="140">
        <f>CHOOSE(IF($B$1=2,2,1),'GAAP-IFRS'!I35,IF('Broker Actual'!I35="-",'GAAP-IFRS'!I35,'Broker Actual'!I35))</f>
        <v>660.79899999999998</v>
      </c>
      <c r="G162" s="140">
        <f>CHOOSE(IF($B$1=2,2,1),'GAAP-IFRS'!J35,IF('Broker Actual'!J35="-",'GAAP-IFRS'!J35,'Broker Actual'!J35))</f>
        <v>729.56100000000004</v>
      </c>
      <c r="H162" s="140">
        <f>CHOOSE(IF($B$1=2,2,1),'GAAP-IFRS'!K35,IF('Broker Actual'!K35="-",'GAAP-IFRS'!K35,'Broker Actual'!K35))</f>
        <v>702.27</v>
      </c>
      <c r="I162" s="140">
        <f>CHOOSE(IF($B$1=2,2,1),'GAAP-IFRS'!L35,IF('Broker Actual'!L35="-",'GAAP-IFRS'!L35,'Broker Actual'!L35))</f>
        <v>662.29100000000005</v>
      </c>
      <c r="J162" s="140">
        <f>CHOOSE(IF($B$1=2,2,1),'GAAP-IFRS'!M35,IF('Broker Actual'!M35="-",'GAAP-IFRS'!M35,'Broker Actual'!M35))</f>
        <v>834.19299999999998</v>
      </c>
      <c r="K162" s="140">
        <f>CHOOSE(IF($B$1=2,2,1),'GAAP-IFRS'!N35,IF('Broker Actual'!N35="-",'GAAP-IFRS'!N35,'Broker Actual'!N35))</f>
        <v>1093.76</v>
      </c>
      <c r="L162" s="140">
        <f>CHOOSE(IF($B$1=2,2,1),'GAAP-IFRS'!O35,IF('Broker Actual'!O35="-",'GAAP-IFRS'!O35,'Broker Actual'!O35))</f>
        <v>1803.328</v>
      </c>
      <c r="M162" s="124"/>
      <c r="N162" s="124"/>
      <c r="O162" s="124"/>
      <c r="P162" s="124"/>
      <c r="Q162" s="124"/>
      <c r="R162" s="124"/>
      <c r="S162" s="124"/>
      <c r="T162" s="124"/>
      <c r="U162" s="124"/>
      <c r="V162" s="124"/>
      <c r="W162" s="158"/>
      <c r="X162" s="159"/>
      <c r="Y162" s="159"/>
      <c r="Z162" s="157" cm="1">
        <f t="array" ref="Z162">_xll.FDSC("--",$A$1,"FE_ESTIMATE(ASSETS,"&amp;D2&amp;",ANNUAL,1,NOW,,,'CURRENCY="&amp;$E$1&amp;"')")</f>
        <v>1730.8405</v>
      </c>
      <c r="AA162" s="157" t="e" cm="1">
        <f t="array" ref="AA162">_xll.FDSC("--",$A$1,"FE_ESTIMATE(ASSETS,"&amp;#REF!&amp;",ANNUAL,1,NOW,,,'CURRENCY="&amp;$E$1&amp;"')")</f>
        <v>#VALUE!</v>
      </c>
      <c r="AB162" s="157" cm="1">
        <f t="array" ref="AB162">_xll.FDSC("--",$A$1,"FE_ESTIMATE(ASSETS,"&amp;D2&amp;",ANNUAL,1,NOW,,,'CURRENCY="&amp;$E$1&amp;"')")</f>
        <v>1730.8405</v>
      </c>
      <c r="AC162" s="157"/>
      <c r="AD162" s="157"/>
      <c r="AE162" s="160"/>
    </row>
    <row r="163" spans="1:31" outlineLevel="1" x14ac:dyDescent="0.3">
      <c r="B163" s="140"/>
      <c r="C163" s="140"/>
      <c r="D163" s="140"/>
      <c r="E163" s="140"/>
      <c r="F163" s="140"/>
      <c r="G163" s="140"/>
      <c r="H163" s="140"/>
      <c r="I163" s="140"/>
      <c r="J163" s="140"/>
      <c r="K163" s="140"/>
      <c r="L163" s="140"/>
      <c r="M163" s="124"/>
      <c r="N163" s="124"/>
      <c r="O163" s="124"/>
      <c r="P163" s="124"/>
      <c r="Q163" s="124"/>
      <c r="R163" s="124"/>
      <c r="S163" s="124"/>
      <c r="T163" s="124"/>
      <c r="U163" s="124"/>
      <c r="V163" s="124"/>
      <c r="W163" s="185"/>
      <c r="X163" s="186"/>
      <c r="Y163" s="186"/>
      <c r="Z163" s="121"/>
      <c r="AA163" s="121"/>
      <c r="AB163" s="121"/>
      <c r="AC163" s="121"/>
      <c r="AD163" s="121"/>
      <c r="AE163" s="187"/>
    </row>
    <row r="164" spans="1:31" outlineLevel="1" x14ac:dyDescent="0.3">
      <c r="A164" s="182" t="s">
        <v>145</v>
      </c>
      <c r="B164" s="140">
        <f>CHOOSE(IF($B$1=2,2,1),'GAAP-IFRS'!E37,IF('Broker Actual'!E37="-",'GAAP-IFRS'!E37,'Broker Actual'!E37))</f>
        <v>1.377</v>
      </c>
      <c r="C164" s="140">
        <f>CHOOSE(IF($B$1=2,2,1),'GAAP-IFRS'!F37,IF('Broker Actual'!F37="-",'GAAP-IFRS'!F37,'Broker Actual'!F37))</f>
        <v>4.66</v>
      </c>
      <c r="D164" s="140">
        <f>CHOOSE(IF($B$1=2,2,1),'GAAP-IFRS'!G37,IF('Broker Actual'!G37="-",'GAAP-IFRS'!G37,'Broker Actual'!G37))</f>
        <v>0.218</v>
      </c>
      <c r="E164" s="140">
        <f>CHOOSE(IF($B$1=2,2,1),'GAAP-IFRS'!H37,IF('Broker Actual'!H37="-",'GAAP-IFRS'!H37,'Broker Actual'!H37))</f>
        <v>1.0840000000000001</v>
      </c>
      <c r="F164" s="140">
        <f>CHOOSE(IF($B$1=2,2,1),'GAAP-IFRS'!I37,IF('Broker Actual'!I37="-",'GAAP-IFRS'!I37,'Broker Actual'!I37))</f>
        <v>3.294</v>
      </c>
      <c r="G164" s="140">
        <f>CHOOSE(IF($B$1=2,2,1),'GAAP-IFRS'!J37,IF('Broker Actual'!J37="-",'GAAP-IFRS'!J37,'Broker Actual'!J37))</f>
        <v>1.4999999999999999E-2</v>
      </c>
      <c r="H164" s="140">
        <f>CHOOSE(IF($B$1=2,2,1),'GAAP-IFRS'!K37,IF('Broker Actual'!K37="-",'GAAP-IFRS'!K37,'Broker Actual'!K37))</f>
        <v>1.4E-2</v>
      </c>
      <c r="I164" s="140">
        <f>CHOOSE(IF($B$1=2,2,1),'GAAP-IFRS'!L37,IF('Broker Actual'!L37="-",'GAAP-IFRS'!L37,'Broker Actual'!L37))</f>
        <v>7.5999999999999998E-2</v>
      </c>
      <c r="J164" s="140">
        <f>CHOOSE(IF($B$1=2,2,1),'GAAP-IFRS'!M37,IF('Broker Actual'!M37="-",'GAAP-IFRS'!M37,'Broker Actual'!M37))</f>
        <v>8.6999999999999994E-2</v>
      </c>
      <c r="K164" s="140">
        <f>CHOOSE(IF($B$1=2,2,1),'GAAP-IFRS'!N37,IF('Broker Actual'!N37="-",'GAAP-IFRS'!N37,'Broker Actual'!N37))</f>
        <v>23.335000000000001</v>
      </c>
      <c r="L164" s="140">
        <f>CHOOSE(IF($B$1=2,2,1),'GAAP-IFRS'!O37,IF('Broker Actual'!O37="-",'GAAP-IFRS'!O37,'Broker Actual'!O37))</f>
        <v>26.251999999999999</v>
      </c>
      <c r="M164" s="141">
        <f>M165*M$57</f>
        <v>27.487968200000001</v>
      </c>
      <c r="N164" s="141">
        <f t="shared" ref="N164:Q164" si="94">N165*N$57</f>
        <v>23.872937616000005</v>
      </c>
      <c r="O164" s="141">
        <f t="shared" si="94"/>
        <v>19.534958368200002</v>
      </c>
      <c r="P164" s="141">
        <f t="shared" si="94"/>
        <v>21.119402394090002</v>
      </c>
      <c r="Q164" s="141">
        <f t="shared" si="94"/>
        <v>23.178071091136502</v>
      </c>
      <c r="R164" s="124"/>
      <c r="S164" s="124"/>
      <c r="T164" s="124"/>
      <c r="U164" s="124"/>
      <c r="V164" s="124"/>
      <c r="W164" s="125"/>
      <c r="X164" s="126"/>
      <c r="Y164" s="126"/>
      <c r="Z164" s="124"/>
      <c r="AA164" s="124"/>
      <c r="AB164" s="124"/>
      <c r="AC164" s="124"/>
      <c r="AD164" s="124"/>
      <c r="AE164" s="127"/>
    </row>
    <row r="165" spans="1:31" outlineLevel="1" x14ac:dyDescent="0.3">
      <c r="A165" s="183" t="s">
        <v>137</v>
      </c>
      <c r="B165" s="130">
        <f>B164/B57</f>
        <v>5.8945151472344576E-3</v>
      </c>
      <c r="C165" s="130">
        <f t="shared" ref="C165:L165" si="95">C164/C$57</f>
        <v>1.9329041677727636E-2</v>
      </c>
      <c r="D165" s="130">
        <f t="shared" si="95"/>
        <v>8.1921625806063699E-4</v>
      </c>
      <c r="E165" s="130">
        <f t="shared" si="95"/>
        <v>3.7908460161145928E-3</v>
      </c>
      <c r="F165" s="130">
        <f t="shared" si="95"/>
        <v>1.2456229249071643E-2</v>
      </c>
      <c r="G165" s="130">
        <f t="shared" si="95"/>
        <v>6.1373288708133189E-5</v>
      </c>
      <c r="H165" s="130">
        <f t="shared" si="95"/>
        <v>6.0529547066046383E-5</v>
      </c>
      <c r="I165" s="130">
        <f t="shared" si="95"/>
        <v>3.1343566732928069E-4</v>
      </c>
      <c r="J165" s="130">
        <f t="shared" si="95"/>
        <v>2.8025009905391428E-4</v>
      </c>
      <c r="K165" s="130">
        <f t="shared" si="95"/>
        <v>5.7205545272912245E-2</v>
      </c>
      <c r="L165" s="130">
        <f t="shared" si="95"/>
        <v>5.2549928637629285E-2</v>
      </c>
      <c r="M165" s="188">
        <v>0.05</v>
      </c>
      <c r="N165" s="188">
        <v>0.04</v>
      </c>
      <c r="O165" s="189">
        <v>0.03</v>
      </c>
      <c r="P165" s="189">
        <f t="shared" ref="P165:Q165" si="96">O165</f>
        <v>0.03</v>
      </c>
      <c r="Q165" s="189">
        <f t="shared" si="96"/>
        <v>0.03</v>
      </c>
      <c r="R165" s="124"/>
      <c r="S165" s="124"/>
      <c r="T165" s="124"/>
      <c r="U165" s="124"/>
      <c r="V165" s="124"/>
      <c r="W165" s="125"/>
      <c r="X165" s="126"/>
      <c r="Y165" s="126"/>
      <c r="Z165" s="124"/>
      <c r="AA165" s="124"/>
      <c r="AB165" s="124"/>
      <c r="AC165" s="124"/>
      <c r="AD165" s="124"/>
      <c r="AE165" s="127"/>
    </row>
    <row r="166" spans="1:31" outlineLevel="1" x14ac:dyDescent="0.3">
      <c r="A166" s="182" t="s">
        <v>146</v>
      </c>
      <c r="B166" s="140">
        <f>CHOOSE(IF($B$1=2,2,1),'GAAP-IFRS'!E38,IF('Broker Actual'!E38="-",'GAAP-IFRS'!E38,'Broker Actual'!E38))</f>
        <v>54.441000000000003</v>
      </c>
      <c r="C166" s="140">
        <f>CHOOSE(IF($B$1=2,2,1),'GAAP-IFRS'!F38,IF('Broker Actual'!F38="-",'GAAP-IFRS'!F38,'Broker Actual'!F38))</f>
        <v>52.94</v>
      </c>
      <c r="D166" s="140">
        <f>CHOOSE(IF($B$1=2,2,1),'GAAP-IFRS'!G38,IF('Broker Actual'!G38="-",'GAAP-IFRS'!G38,'Broker Actual'!G38))</f>
        <v>53.951999999999998</v>
      </c>
      <c r="E166" s="140">
        <f>CHOOSE(IF($B$1=2,2,1),'GAAP-IFRS'!H38,IF('Broker Actual'!H38="-",'GAAP-IFRS'!H38,'Broker Actual'!H38))</f>
        <v>59.09</v>
      </c>
      <c r="F166" s="140">
        <f>CHOOSE(IF($B$1=2,2,1),'GAAP-IFRS'!I38,IF('Broker Actual'!I38="-",'GAAP-IFRS'!I38,'Broker Actual'!I38))</f>
        <v>81.081999999999994</v>
      </c>
      <c r="G166" s="140">
        <f>CHOOSE(IF($B$1=2,2,1),'GAAP-IFRS'!J38,IF('Broker Actual'!J38="-",'GAAP-IFRS'!J38,'Broker Actual'!J38))</f>
        <v>116.458</v>
      </c>
      <c r="H166" s="140">
        <f>CHOOSE(IF($B$1=2,2,1),'GAAP-IFRS'!K38,IF('Broker Actual'!K38="-",'GAAP-IFRS'!K38,'Broker Actual'!K38))</f>
        <v>181.488</v>
      </c>
      <c r="I166" s="140">
        <f>CHOOSE(IF($B$1=2,2,1),'GAAP-IFRS'!L38,IF('Broker Actual'!L38="-",'GAAP-IFRS'!L38,'Broker Actual'!L38))</f>
        <v>102.494</v>
      </c>
      <c r="J166" s="140">
        <f>CHOOSE(IF($B$1=2,2,1),'GAAP-IFRS'!M38,IF('Broker Actual'!M38="-",'GAAP-IFRS'!M38,'Broker Actual'!M38))</f>
        <v>139.98500000000001</v>
      </c>
      <c r="K166" s="140">
        <f>CHOOSE(IF($B$1=2,2,1),'GAAP-IFRS'!N38,IF('Broker Actual'!N38="-",'GAAP-IFRS'!N38,'Broker Actual'!N38))</f>
        <v>201.75299999999999</v>
      </c>
      <c r="L166" s="140">
        <f>CHOOSE(IF($B$1=2,2,1),'GAAP-IFRS'!O38,IF('Broker Actual'!O38="-",'GAAP-IFRS'!O38,'Broker Actual'!O38))</f>
        <v>237.21899999999999</v>
      </c>
      <c r="M166" s="140"/>
      <c r="N166" s="124"/>
      <c r="O166" s="124"/>
      <c r="P166" s="124"/>
      <c r="Q166" s="124"/>
      <c r="R166" s="124"/>
      <c r="S166" s="124"/>
      <c r="T166" s="124"/>
      <c r="U166" s="124"/>
      <c r="V166" s="124"/>
      <c r="W166" s="125"/>
      <c r="X166" s="126" t="s">
        <v>91</v>
      </c>
      <c r="Y166" s="126" t="s">
        <v>147</v>
      </c>
      <c r="Z166" s="124" t="str" cm="1">
        <f t="array" ref="Z166">_xll.FDSC("--",$A$1,""&amp;$X166&amp;"("&amp;$Y166&amp;","&amp;D$2&amp;",ANNUAL_ROLL,+1,0,,,'CURRENCY="&amp;$E$1&amp;"')")</f>
        <v>--</v>
      </c>
      <c r="AA166" s="124" t="str" cm="1">
        <f t="array" ref="AA166">_xll.FDSC("--",$A$1,""&amp;$X166&amp;"("&amp;$Y166&amp;","&amp;D$2&amp;",ANNUAL_ROLL,+2,0,,,'CURRENCY="&amp;$E$1&amp;"')")</f>
        <v>--</v>
      </c>
      <c r="AB166" s="124" t="str" cm="1">
        <f t="array" ref="AB166">_xll.FDSC("--",$A$1,""&amp;$X166&amp;"("&amp;$Y166&amp;","&amp;D$2&amp;",ANNUAL_ROLL,+3,0,,,'CURRENCY="&amp;$E$1&amp;"')")</f>
        <v>--</v>
      </c>
      <c r="AC166" s="124"/>
      <c r="AD166" s="124"/>
      <c r="AE166" s="127"/>
    </row>
    <row r="167" spans="1:31" outlineLevel="1" x14ac:dyDescent="0.3">
      <c r="A167" s="182" t="s">
        <v>148</v>
      </c>
      <c r="B167" s="140">
        <f>CHOOSE(IF($B$1=2,2,1),'GAAP-IFRS'!E39,IF('Broker Actual'!E39="-",'GAAP-IFRS'!E39,'Broker Actual'!E39))</f>
        <v>0</v>
      </c>
      <c r="C167" s="140">
        <f>CHOOSE(IF($B$1=2,2,1),'GAAP-IFRS'!F39,IF('Broker Actual'!F39="-",'GAAP-IFRS'!F39,'Broker Actual'!F39))</f>
        <v>0</v>
      </c>
      <c r="D167" s="140">
        <f>CHOOSE(IF($B$1=2,2,1),'GAAP-IFRS'!G39,IF('Broker Actual'!G39="-",'GAAP-IFRS'!G39,'Broker Actual'!G39))</f>
        <v>0</v>
      </c>
      <c r="E167" s="140">
        <f>CHOOSE(IF($B$1=2,2,1),'GAAP-IFRS'!H39,IF('Broker Actual'!H39="-",'GAAP-IFRS'!H39,'Broker Actual'!H39))</f>
        <v>0</v>
      </c>
      <c r="F167" s="140">
        <f>CHOOSE(IF($B$1=2,2,1),'GAAP-IFRS'!I39,IF('Broker Actual'!I39="-",'GAAP-IFRS'!I39,'Broker Actual'!I39))</f>
        <v>0.78300000000000003</v>
      </c>
      <c r="G167" s="140">
        <f>CHOOSE(IF($B$1=2,2,1),'GAAP-IFRS'!J39,IF('Broker Actual'!J39="-",'GAAP-IFRS'!J39,'Broker Actual'!J39))</f>
        <v>1.0489999999999999</v>
      </c>
      <c r="H167" s="140">
        <f>CHOOSE(IF($B$1=2,2,1),'GAAP-IFRS'!K39,IF('Broker Actual'!K39="-",'GAAP-IFRS'!K39,'Broker Actual'!K39))</f>
        <v>91.316000000000003</v>
      </c>
      <c r="I167" s="140">
        <f>CHOOSE(IF($B$1=2,2,1),'GAAP-IFRS'!L39,IF('Broker Actual'!L39="-",'GAAP-IFRS'!L39,'Broker Actual'!L39))</f>
        <v>10.34</v>
      </c>
      <c r="J167" s="140">
        <f>CHOOSE(IF($B$1=2,2,1),'GAAP-IFRS'!M39,IF('Broker Actual'!M39="-",'GAAP-IFRS'!M39,'Broker Actual'!M39))</f>
        <v>2.694</v>
      </c>
      <c r="K167" s="140">
        <f>CHOOSE(IF($B$1=2,2,1),'GAAP-IFRS'!N39,IF('Broker Actual'!N39="-",'GAAP-IFRS'!N39,'Broker Actual'!N39))</f>
        <v>2.4500000000000002</v>
      </c>
      <c r="L167" s="140">
        <f>CHOOSE(IF($B$1=2,2,1),'GAAP-IFRS'!O39,IF('Broker Actual'!O39="-",'GAAP-IFRS'!O39,'Broker Actual'!O39))</f>
        <v>1.1639999999999999</v>
      </c>
      <c r="M167" s="141">
        <f>L167</f>
        <v>1.1639999999999999</v>
      </c>
      <c r="N167" s="141">
        <f>M167</f>
        <v>1.1639999999999999</v>
      </c>
      <c r="O167" s="141">
        <f t="shared" ref="O167:Q167" si="97">N167</f>
        <v>1.1639999999999999</v>
      </c>
      <c r="P167" s="141">
        <f t="shared" si="97"/>
        <v>1.1639999999999999</v>
      </c>
      <c r="Q167" s="141">
        <f t="shared" si="97"/>
        <v>1.1639999999999999</v>
      </c>
      <c r="R167" s="124"/>
      <c r="S167" s="124"/>
      <c r="T167" s="124"/>
      <c r="U167" s="124"/>
      <c r="V167" s="124"/>
      <c r="W167" s="125"/>
      <c r="X167" s="126"/>
      <c r="Y167" s="126"/>
      <c r="Z167" s="124"/>
      <c r="AA167" s="124"/>
      <c r="AB167" s="124"/>
      <c r="AC167" s="124"/>
      <c r="AD167" s="124"/>
      <c r="AE167" s="127"/>
    </row>
    <row r="168" spans="1:31" outlineLevel="1" x14ac:dyDescent="0.3">
      <c r="A168" s="182" t="s">
        <v>149</v>
      </c>
      <c r="B168" s="140">
        <f>CHOOSE(IF($B$1=2,2,1),'GAAP-IFRS'!E40,IF('Broker Actual'!E40="-",'GAAP-IFRS'!E40,'Broker Actual'!E40))</f>
        <v>0</v>
      </c>
      <c r="C168" s="140">
        <f>CHOOSE(IF($B$1=2,2,1),'GAAP-IFRS'!F40,IF('Broker Actual'!F40="-",'GAAP-IFRS'!F40,'Broker Actual'!F40))</f>
        <v>126.932</v>
      </c>
      <c r="D168" s="140">
        <f>CHOOSE(IF($B$1=2,2,1),'GAAP-IFRS'!G40,IF('Broker Actual'!G40="-",'GAAP-IFRS'!G40,'Broker Actual'!G40))</f>
        <v>125.886</v>
      </c>
      <c r="E168" s="140">
        <f>CHOOSE(IF($B$1=2,2,1),'GAAP-IFRS'!H40,IF('Broker Actual'!H40="-",'GAAP-IFRS'!H40,'Broker Actual'!H40))</f>
        <v>129.429</v>
      </c>
      <c r="F168" s="140">
        <f>CHOOSE(IF($B$1=2,2,1),'GAAP-IFRS'!I40,IF('Broker Actual'!I40="-",'GAAP-IFRS'!I40,'Broker Actual'!I40))</f>
        <v>138.08000000000001</v>
      </c>
      <c r="G168" s="140">
        <f>CHOOSE(IF($B$1=2,2,1),'GAAP-IFRS'!J40,IF('Broker Actual'!J40="-",'GAAP-IFRS'!J40,'Broker Actual'!J40))</f>
        <v>236.786</v>
      </c>
      <c r="H168" s="140">
        <f>CHOOSE(IF($B$1=2,2,1),'GAAP-IFRS'!K40,IF('Broker Actual'!K40="-",'GAAP-IFRS'!K40,'Broker Actual'!K40))</f>
        <v>158.834</v>
      </c>
      <c r="I168" s="140">
        <f>CHOOSE(IF($B$1=2,2,1),'GAAP-IFRS'!L40,IF('Broker Actual'!L40="-",'GAAP-IFRS'!L40,'Broker Actual'!L40))</f>
        <v>163.10499999999999</v>
      </c>
      <c r="J168" s="140">
        <f>CHOOSE(IF($B$1=2,2,1),'GAAP-IFRS'!M40,IF('Broker Actual'!M40="-",'GAAP-IFRS'!M40,'Broker Actual'!M40))</f>
        <v>181.58099999999999</v>
      </c>
      <c r="K168" s="140">
        <f>CHOOSE(IF($B$1=2,2,1),'GAAP-IFRS'!N40,IF('Broker Actual'!N40="-",'GAAP-IFRS'!N40,'Broker Actual'!N40))</f>
        <v>60.256999999999998</v>
      </c>
      <c r="L168" s="140">
        <f>CHOOSE(IF($B$1=2,2,1),'GAAP-IFRS'!O40,IF('Broker Actual'!O40="-",'GAAP-IFRS'!O40,'Broker Actual'!O40))</f>
        <v>211.244</v>
      </c>
      <c r="M168" s="141">
        <f>L168+M243</f>
        <v>192.45918112148411</v>
      </c>
      <c r="N168" s="141">
        <f>M168+N243</f>
        <v>191.50924572639008</v>
      </c>
      <c r="O168" s="141">
        <f>N168+O243</f>
        <v>192.6090377625039</v>
      </c>
      <c r="P168" s="141">
        <f>O168+P243</f>
        <v>219.30614556734778</v>
      </c>
      <c r="Q168" s="141">
        <f>P168+Q243</f>
        <v>245.18278090320686</v>
      </c>
      <c r="R168" s="124"/>
      <c r="S168" s="124"/>
      <c r="T168" s="124"/>
      <c r="U168" s="124"/>
      <c r="V168" s="124"/>
      <c r="W168" s="125"/>
      <c r="X168" s="126"/>
      <c r="Y168" s="126"/>
      <c r="Z168" s="124"/>
      <c r="AA168" s="124"/>
      <c r="AB168" s="124"/>
      <c r="AC168" s="124"/>
      <c r="AD168" s="124"/>
      <c r="AE168" s="127"/>
    </row>
    <row r="169" spans="1:31" outlineLevel="1" x14ac:dyDescent="0.3">
      <c r="A169" s="79" t="s">
        <v>150</v>
      </c>
      <c r="B169" s="140">
        <f>CHOOSE(IF($B$1=2,2,1),'GAAP-IFRS'!E41,IF('Broker Actual'!E41="-",'GAAP-IFRS'!E41,'Broker Actual'!E41))</f>
        <v>0</v>
      </c>
      <c r="C169" s="140">
        <f>CHOOSE(IF($B$1=2,2,1),'GAAP-IFRS'!F41,IF('Broker Actual'!F41="-",'GAAP-IFRS'!F41,'Broker Actual'!F41))</f>
        <v>126.932</v>
      </c>
      <c r="D169" s="140">
        <f>CHOOSE(IF($B$1=2,2,1),'GAAP-IFRS'!G41,IF('Broker Actual'!G41="-",'GAAP-IFRS'!G41,'Broker Actual'!G41))</f>
        <v>125.886</v>
      </c>
      <c r="E169" s="140">
        <f>CHOOSE(IF($B$1=2,2,1),'GAAP-IFRS'!H41,IF('Broker Actual'!H41="-",'GAAP-IFRS'!H41,'Broker Actual'!H41))</f>
        <v>129.429</v>
      </c>
      <c r="F169" s="140">
        <f>CHOOSE(IF($B$1=2,2,1),'GAAP-IFRS'!I41,IF('Broker Actual'!I41="-",'GAAP-IFRS'!I41,'Broker Actual'!I41))</f>
        <v>138.863</v>
      </c>
      <c r="G169" s="140">
        <f>CHOOSE(IF($B$1=2,2,1),'GAAP-IFRS'!J41,IF('Broker Actual'!J41="-",'GAAP-IFRS'!J41,'Broker Actual'!J41))</f>
        <v>237.83500000000001</v>
      </c>
      <c r="H169" s="140">
        <f>CHOOSE(IF($B$1=2,2,1),'GAAP-IFRS'!K41,IF('Broker Actual'!K41="-",'GAAP-IFRS'!K41,'Broker Actual'!K41))</f>
        <v>250.15</v>
      </c>
      <c r="I169" s="140">
        <f>CHOOSE(IF($B$1=2,2,1),'GAAP-IFRS'!L41,IF('Broker Actual'!L41="-",'GAAP-IFRS'!L41,'Broker Actual'!L41))</f>
        <v>173.44499999999999</v>
      </c>
      <c r="J169" s="140">
        <f>CHOOSE(IF($B$1=2,2,1),'GAAP-IFRS'!M41,IF('Broker Actual'!M41="-",'GAAP-IFRS'!M41,'Broker Actual'!M41))</f>
        <v>184.27500000000001</v>
      </c>
      <c r="K169" s="140">
        <f>CHOOSE(IF($B$1=2,2,1),'GAAP-IFRS'!N41,IF('Broker Actual'!N41="-",'GAAP-IFRS'!N41,'Broker Actual'!N41))</f>
        <v>62.707000000000001</v>
      </c>
      <c r="L169" s="140">
        <f>CHOOSE(IF($B$1=2,2,1),'GAAP-IFRS'!O41,IF('Broker Actual'!O41="-",'GAAP-IFRS'!O41,'Broker Actual'!O41))</f>
        <v>212.40799999999999</v>
      </c>
      <c r="M169" s="141">
        <f>SUM(M167:M168)</f>
        <v>193.62318112148409</v>
      </c>
      <c r="N169" s="141">
        <f t="shared" ref="N169:Q169" si="98">SUM(N167:N168)</f>
        <v>192.67324572639006</v>
      </c>
      <c r="O169" s="141">
        <f t="shared" si="98"/>
        <v>193.77303776250389</v>
      </c>
      <c r="P169" s="141">
        <f t="shared" si="98"/>
        <v>220.47014556734777</v>
      </c>
      <c r="Q169" s="141">
        <f t="shared" si="98"/>
        <v>246.34678090320685</v>
      </c>
      <c r="R169" s="124"/>
      <c r="S169" s="124"/>
      <c r="T169" s="124"/>
      <c r="U169" s="124"/>
      <c r="V169" s="124"/>
      <c r="W169" s="125"/>
      <c r="X169" s="126" t="s">
        <v>91</v>
      </c>
      <c r="Y169" s="126" t="s">
        <v>151</v>
      </c>
      <c r="Z169" s="124" t="str" cm="1">
        <f t="array" ref="Z169">_xll.FDSC("--",$A$1,""&amp;$X169&amp;"("&amp;$Y169&amp;","&amp;D$2&amp;",ANNUAL_ROLL,+1,0,,,'CURRENCY="&amp;$E$1&amp;"')")</f>
        <v>--</v>
      </c>
      <c r="AA169" s="124" t="str" cm="1">
        <f t="array" ref="AA169">_xll.FDSC("--",$A$1,""&amp;$X169&amp;"("&amp;$Y169&amp;","&amp;D$2&amp;",ANNUAL_ROLL,+2,0,,,'CURRENCY="&amp;$E$1&amp;"')")</f>
        <v>--</v>
      </c>
      <c r="AB169" s="124" t="str" cm="1">
        <f t="array" ref="AB169">_xll.FDSC("--",$A$1,""&amp;$X169&amp;"("&amp;$Y169&amp;","&amp;D$2&amp;",ANNUAL_ROLL,+3,0,,,'CURRENCY="&amp;$E$1&amp;"')")</f>
        <v>--</v>
      </c>
      <c r="AC169" s="124"/>
      <c r="AD169" s="124"/>
      <c r="AE169" s="127"/>
    </row>
    <row r="170" spans="1:31" outlineLevel="1" x14ac:dyDescent="0.3">
      <c r="A170" s="184" t="s">
        <v>152</v>
      </c>
      <c r="B170" s="140">
        <f>CHOOSE(IF($B$1=2,2,1),'GAAP-IFRS'!E42,IF('Broker Actual'!E42="-",'GAAP-IFRS'!E42,'Broker Actual'!E42))</f>
        <v>214.952</v>
      </c>
      <c r="C170" s="140">
        <f>CHOOSE(IF($B$1=2,2,1),'GAAP-IFRS'!F42,IF('Broker Actual'!F42="-",'GAAP-IFRS'!F42,'Broker Actual'!F42))</f>
        <v>349.78399999999999</v>
      </c>
      <c r="D170" s="140">
        <f>CHOOSE(IF($B$1=2,2,1),'GAAP-IFRS'!G42,IF('Broker Actual'!G42="-",'GAAP-IFRS'!G42,'Broker Actual'!G42))</f>
        <v>395.73200000000003</v>
      </c>
      <c r="E170" s="140">
        <f>CHOOSE(IF($B$1=2,2,1),'GAAP-IFRS'!H42,IF('Broker Actual'!H42="-",'GAAP-IFRS'!H42,'Broker Actual'!H42))</f>
        <v>372.06299999999999</v>
      </c>
      <c r="F170" s="140">
        <f>CHOOSE(IF($B$1=2,2,1),'GAAP-IFRS'!I42,IF('Broker Actual'!I42="-",'GAAP-IFRS'!I42,'Broker Actual'!I42))</f>
        <v>417.053</v>
      </c>
      <c r="G170" s="140">
        <f>CHOOSE(IF($B$1=2,2,1),'GAAP-IFRS'!J42,IF('Broker Actual'!J42="-",'GAAP-IFRS'!J42,'Broker Actual'!J42))</f>
        <v>535.58600000000001</v>
      </c>
      <c r="H170" s="140">
        <f>CHOOSE(IF($B$1=2,2,1),'GAAP-IFRS'!K42,IF('Broker Actual'!K42="-",'GAAP-IFRS'!K42,'Broker Actual'!K42))</f>
        <v>520.82899999999995</v>
      </c>
      <c r="I170" s="140">
        <f>CHOOSE(IF($B$1=2,2,1),'GAAP-IFRS'!L42,IF('Broker Actual'!L42="-",'GAAP-IFRS'!L42,'Broker Actual'!L42))</f>
        <v>476.74799999999999</v>
      </c>
      <c r="J170" s="140">
        <f>CHOOSE(IF($B$1=2,2,1),'GAAP-IFRS'!M42,IF('Broker Actual'!M42="-",'GAAP-IFRS'!M42,'Broker Actual'!M42))</f>
        <v>633.05700000000002</v>
      </c>
      <c r="K170" s="140">
        <f>CHOOSE(IF($B$1=2,2,1),'GAAP-IFRS'!N42,IF('Broker Actual'!N42="-",'GAAP-IFRS'!N42,'Broker Actual'!N42))</f>
        <v>679.30200000000002</v>
      </c>
      <c r="L170" s="140">
        <f>CHOOSE(IF($B$1=2,2,1),'GAAP-IFRS'!O42,IF('Broker Actual'!O42="-",'GAAP-IFRS'!O42,'Broker Actual'!O42))</f>
        <v>823.85799999999995</v>
      </c>
      <c r="M170" s="124"/>
      <c r="N170" s="124"/>
      <c r="O170" s="124"/>
      <c r="P170" s="124"/>
      <c r="Q170" s="124"/>
      <c r="R170" s="124"/>
      <c r="S170" s="124"/>
      <c r="T170" s="124"/>
      <c r="U170" s="124"/>
      <c r="V170" s="124"/>
      <c r="W170" s="158"/>
      <c r="X170" s="159"/>
      <c r="Y170" s="159"/>
      <c r="Z170" s="157"/>
      <c r="AA170" s="157"/>
      <c r="AB170" s="157"/>
      <c r="AC170" s="157"/>
      <c r="AD170" s="157"/>
      <c r="AE170" s="160"/>
    </row>
    <row r="171" spans="1:31" outlineLevel="1" x14ac:dyDescent="0.3">
      <c r="A171" s="182"/>
      <c r="B171" s="124"/>
      <c r="C171" s="124"/>
      <c r="D171" s="124"/>
      <c r="E171" s="124"/>
      <c r="F171" s="124"/>
      <c r="G171" s="124"/>
      <c r="H171" s="124"/>
      <c r="I171" s="124"/>
      <c r="J171" s="124"/>
      <c r="K171" s="124"/>
      <c r="L171" s="124"/>
      <c r="M171" s="124"/>
      <c r="N171" s="124"/>
      <c r="O171" s="124"/>
      <c r="P171" s="124"/>
      <c r="Q171" s="124"/>
      <c r="R171" s="124"/>
      <c r="S171" s="124"/>
      <c r="T171" s="124"/>
      <c r="U171" s="124"/>
      <c r="V171" s="124"/>
      <c r="W171" s="190"/>
      <c r="X171" s="126"/>
      <c r="Y171" s="126"/>
      <c r="Z171" s="124"/>
      <c r="AA171" s="124"/>
      <c r="AB171" s="124"/>
      <c r="AC171" s="124"/>
      <c r="AD171" s="124"/>
      <c r="AE171" s="127"/>
    </row>
    <row r="172" spans="1:31" outlineLevel="1" x14ac:dyDescent="0.3">
      <c r="A172" s="182" t="s">
        <v>153</v>
      </c>
      <c r="B172" s="140">
        <f>CHOOSE(IF($B$1=2,2,1),'GAAP-IFRS'!E44,IF('Broker Actual'!E44="-",'GAAP-IFRS'!E44,'Broker Actual'!E44))</f>
        <v>0</v>
      </c>
      <c r="C172" s="140">
        <f>CHOOSE(IF($B$1=2,2,1),'GAAP-IFRS'!F44,IF('Broker Actual'!F44="-",'GAAP-IFRS'!F44,'Broker Actual'!F44))</f>
        <v>0</v>
      </c>
      <c r="D172" s="140">
        <f>CHOOSE(IF($B$1=2,2,1),'GAAP-IFRS'!G44,IF('Broker Actual'!G44="-",'GAAP-IFRS'!G44,'Broker Actual'!G44))</f>
        <v>0</v>
      </c>
      <c r="E172" s="140">
        <f>CHOOSE(IF($B$1=2,2,1),'GAAP-IFRS'!H44,IF('Broker Actual'!H44="-",'GAAP-IFRS'!H44,'Broker Actual'!H44))</f>
        <v>0</v>
      </c>
      <c r="F172" s="140">
        <f>CHOOSE(IF($B$1=2,2,1),'GAAP-IFRS'!I44,IF('Broker Actual'!I44="-",'GAAP-IFRS'!I44,'Broker Actual'!I44))</f>
        <v>0</v>
      </c>
      <c r="G172" s="140">
        <f>CHOOSE(IF($B$1=2,2,1),'GAAP-IFRS'!J44,IF('Broker Actual'!J44="-",'GAAP-IFRS'!J44,'Broker Actual'!J44))</f>
        <v>0</v>
      </c>
      <c r="H172" s="140">
        <f>CHOOSE(IF($B$1=2,2,1),'GAAP-IFRS'!K44,IF('Broker Actual'!K44="-",'GAAP-IFRS'!K44,'Broker Actual'!K44))</f>
        <v>0</v>
      </c>
      <c r="I172" s="140">
        <f>CHOOSE(IF($B$1=2,2,1),'GAAP-IFRS'!L44,IF('Broker Actual'!L44="-",'GAAP-IFRS'!L44,'Broker Actual'!L44))</f>
        <v>0</v>
      </c>
      <c r="J172" s="140">
        <f>CHOOSE(IF($B$1=2,2,1),'GAAP-IFRS'!M44,IF('Broker Actual'!M44="-",'GAAP-IFRS'!M44,'Broker Actual'!M44))</f>
        <v>0</v>
      </c>
      <c r="K172" s="140">
        <f>CHOOSE(IF($B$1=2,2,1),'GAAP-IFRS'!N44,IF('Broker Actual'!N44="-",'GAAP-IFRS'!N44,'Broker Actual'!N44))</f>
        <v>0</v>
      </c>
      <c r="L172" s="140">
        <f>CHOOSE(IF($B$1=2,2,1),'GAAP-IFRS'!O44,IF('Broker Actual'!O44="-",'GAAP-IFRS'!O44,'Broker Actual'!O44))</f>
        <v>0</v>
      </c>
      <c r="M172" s="124"/>
      <c r="N172" s="124"/>
      <c r="O172" s="124"/>
      <c r="P172" s="124"/>
      <c r="Q172" s="124"/>
      <c r="R172" s="124"/>
      <c r="S172" s="124"/>
      <c r="T172" s="124"/>
      <c r="U172" s="124"/>
      <c r="V172" s="124"/>
      <c r="W172" s="125"/>
      <c r="X172" s="126"/>
      <c r="Y172" s="126"/>
      <c r="Z172" s="124"/>
      <c r="AA172" s="124"/>
      <c r="AB172" s="124"/>
      <c r="AC172" s="124"/>
      <c r="AD172" s="124"/>
      <c r="AE172" s="127"/>
    </row>
    <row r="173" spans="1:31" outlineLevel="1" x14ac:dyDescent="0.3">
      <c r="A173" s="182" t="s">
        <v>154</v>
      </c>
      <c r="B173" s="140">
        <f>CHOOSE(IF($B$1=2,2,1),'GAAP-IFRS'!E45,IF('Broker Actual'!E45="-",'GAAP-IFRS'!E45,'Broker Actual'!E45))</f>
        <v>120.755</v>
      </c>
      <c r="C173" s="140">
        <f>CHOOSE(IF($B$1=2,2,1),'GAAP-IFRS'!F45,IF('Broker Actual'!F45="-",'GAAP-IFRS'!F45,'Broker Actual'!F45))</f>
        <v>160.5</v>
      </c>
      <c r="D173" s="140">
        <f>CHOOSE(IF($B$1=2,2,1),'GAAP-IFRS'!G45,IF('Broker Actual'!G45="-",'GAAP-IFRS'!G45,'Broker Actual'!G45))</f>
        <v>182.58500000000001</v>
      </c>
      <c r="E173" s="140">
        <f>CHOOSE(IF($B$1=2,2,1),'GAAP-IFRS'!H45,IF('Broker Actual'!H45="-",'GAAP-IFRS'!H45,'Broker Actual'!H45))</f>
        <v>237.72200000000001</v>
      </c>
      <c r="F173" s="140">
        <f>CHOOSE(IF($B$1=2,2,1),'GAAP-IFRS'!I45,IF('Broker Actual'!I45="-",'GAAP-IFRS'!I45,'Broker Actual'!I45))</f>
        <v>243.74600000000001</v>
      </c>
      <c r="G173" s="140">
        <f>CHOOSE(IF($B$1=2,2,1),'GAAP-IFRS'!J45,IF('Broker Actual'!J45="-",'GAAP-IFRS'!J45,'Broker Actual'!J45))</f>
        <v>193.97499999999999</v>
      </c>
      <c r="H173" s="140">
        <f>CHOOSE(IF($B$1=2,2,1),'GAAP-IFRS'!K45,IF('Broker Actual'!K45="-",'GAAP-IFRS'!K45,'Broker Actual'!K45))</f>
        <v>181.441</v>
      </c>
      <c r="I173" s="140">
        <f>CHOOSE(IF($B$1=2,2,1),'GAAP-IFRS'!L45,IF('Broker Actual'!L45="-",'GAAP-IFRS'!L45,'Broker Actual'!L45))</f>
        <v>185.54300000000001</v>
      </c>
      <c r="J173" s="140">
        <f>CHOOSE(IF($B$1=2,2,1),'GAAP-IFRS'!M45,IF('Broker Actual'!M45="-",'GAAP-IFRS'!M45,'Broker Actual'!M45))</f>
        <v>201.136</v>
      </c>
      <c r="K173" s="140">
        <f>CHOOSE(IF($B$1=2,2,1),'GAAP-IFRS'!N45,IF('Broker Actual'!N45="-",'GAAP-IFRS'!N45,'Broker Actual'!N45))</f>
        <v>323.36500000000001</v>
      </c>
      <c r="L173" s="140">
        <f>CHOOSE(IF($B$1=2,2,1),'GAAP-IFRS'!O45,IF('Broker Actual'!O45="-",'GAAP-IFRS'!O45,'Broker Actual'!O45))</f>
        <v>162.596</v>
      </c>
      <c r="M173" s="124"/>
      <c r="N173" s="124"/>
      <c r="O173" s="124"/>
      <c r="P173" s="124"/>
      <c r="Q173" s="124"/>
      <c r="R173" s="124"/>
      <c r="S173" s="124"/>
      <c r="T173" s="124"/>
      <c r="U173" s="124"/>
      <c r="V173" s="124"/>
      <c r="W173" s="125"/>
      <c r="X173" s="126" t="s">
        <v>91</v>
      </c>
      <c r="Y173" s="126" t="s">
        <v>155</v>
      </c>
      <c r="Z173" s="124" cm="1">
        <f t="array" ref="Z173">_xll.FDSC("--",$A$1,""&amp;$X173&amp;"("&amp;$Y173&amp;","&amp;D$2&amp;",ANNUAL_ROLL,+1,0,,,'CURRENCY="&amp;$E$1&amp;"')")</f>
        <v>187.8595</v>
      </c>
      <c r="AA173" s="124" cm="1">
        <f t="array" ref="AA173">_xll.FDSC("--",$A$1,""&amp;$X173&amp;"("&amp;$Y173&amp;","&amp;D$2&amp;",ANNUAL_ROLL,+2,0,,,'CURRENCY="&amp;$E$1&amp;"')")</f>
        <v>206.17099999999999</v>
      </c>
      <c r="AB173" s="124" t="str" cm="1">
        <f t="array" ref="AB173">_xll.FDSC("--",$A$1,""&amp;$X173&amp;"("&amp;$Y173&amp;","&amp;D$2&amp;",ANNUAL_ROLL,+3,0,,,'CURRENCY="&amp;$E$1&amp;"')")</f>
        <v>--</v>
      </c>
      <c r="AC173" s="124"/>
      <c r="AD173" s="124"/>
      <c r="AE173" s="127"/>
    </row>
    <row r="174" spans="1:31" outlineLevel="1" x14ac:dyDescent="0.3">
      <c r="A174" s="184" t="s">
        <v>156</v>
      </c>
      <c r="B174" s="140">
        <f>CHOOSE(IF($B$1=2,2,1),'GAAP-IFRS'!E46,IF('Broker Actual'!E46="-",'GAAP-IFRS'!E46,'Broker Actual'!E46))</f>
        <v>336.20499999999998</v>
      </c>
      <c r="C174" s="140">
        <f>CHOOSE(IF($B$1=2,2,1),'GAAP-IFRS'!F46,IF('Broker Actual'!F46="-",'GAAP-IFRS'!F46,'Broker Actual'!F46))</f>
        <v>510.30500000000001</v>
      </c>
      <c r="D174" s="140">
        <f>CHOOSE(IF($B$1=2,2,1),'GAAP-IFRS'!G46,IF('Broker Actual'!G46="-",'GAAP-IFRS'!G46,'Broker Actual'!G46))</f>
        <v>578.31700000000001</v>
      </c>
      <c r="E174" s="140">
        <f>CHOOSE(IF($B$1=2,2,1),'GAAP-IFRS'!H46,IF('Broker Actual'!H46="-",'GAAP-IFRS'!H46,'Broker Actual'!H46))</f>
        <v>609.78499999999997</v>
      </c>
      <c r="F174" s="140">
        <f>CHOOSE(IF($B$1=2,2,1),'GAAP-IFRS'!I46,IF('Broker Actual'!I46="-",'GAAP-IFRS'!I46,'Broker Actual'!I46))</f>
        <v>660.79899999999998</v>
      </c>
      <c r="G174" s="140">
        <f>CHOOSE(IF($B$1=2,2,1),'GAAP-IFRS'!J46,IF('Broker Actual'!J46="-",'GAAP-IFRS'!J46,'Broker Actual'!J46))</f>
        <v>729.56100000000004</v>
      </c>
      <c r="H174" s="140">
        <f>CHOOSE(IF($B$1=2,2,1),'GAAP-IFRS'!K46,IF('Broker Actual'!K46="-",'GAAP-IFRS'!K46,'Broker Actual'!K46))</f>
        <v>702.27</v>
      </c>
      <c r="I174" s="140">
        <f>CHOOSE(IF($B$1=2,2,1),'GAAP-IFRS'!L46,IF('Broker Actual'!L46="-",'GAAP-IFRS'!L46,'Broker Actual'!L46))</f>
        <v>662.29100000000005</v>
      </c>
      <c r="J174" s="140">
        <f>CHOOSE(IF($B$1=2,2,1),'GAAP-IFRS'!M46,IF('Broker Actual'!M46="-",'GAAP-IFRS'!M46,'Broker Actual'!M46))</f>
        <v>834.19299999999998</v>
      </c>
      <c r="K174" s="140">
        <f>CHOOSE(IF($B$1=2,2,1),'GAAP-IFRS'!N46,IF('Broker Actual'!N46="-",'GAAP-IFRS'!N46,'Broker Actual'!N46))</f>
        <v>1093.76</v>
      </c>
      <c r="L174" s="140">
        <f>CHOOSE(IF($B$1=2,2,1),'GAAP-IFRS'!O46,IF('Broker Actual'!O46="-",'GAAP-IFRS'!O46,'Broker Actual'!O46))</f>
        <v>1078.665</v>
      </c>
      <c r="M174" s="124"/>
      <c r="N174" s="124"/>
      <c r="O174" s="124"/>
      <c r="P174" s="124"/>
      <c r="Q174" s="124"/>
      <c r="R174" s="124"/>
      <c r="S174" s="124"/>
      <c r="T174" s="124"/>
      <c r="U174" s="124"/>
      <c r="V174" s="124"/>
      <c r="W174" s="158"/>
      <c r="X174" s="159"/>
      <c r="Y174" s="159"/>
      <c r="Z174" s="157"/>
      <c r="AA174" s="157"/>
      <c r="AB174" s="157"/>
      <c r="AC174" s="157"/>
      <c r="AD174" s="157"/>
      <c r="AE174" s="160"/>
    </row>
    <row r="175" spans="1:31" outlineLevel="1" x14ac:dyDescent="0.3">
      <c r="B175" s="140"/>
      <c r="C175" s="140"/>
      <c r="D175" s="140"/>
      <c r="E175" s="140"/>
      <c r="F175" s="140"/>
      <c r="G175" s="140"/>
      <c r="H175" s="140"/>
      <c r="I175" s="140"/>
      <c r="J175" s="140"/>
      <c r="K175" s="140"/>
      <c r="L175" s="140"/>
      <c r="M175" s="124"/>
      <c r="N175" s="124"/>
      <c r="O175" s="124"/>
      <c r="P175" s="124"/>
      <c r="Q175" s="124"/>
      <c r="R175" s="124"/>
      <c r="S175" s="124"/>
      <c r="T175" s="124"/>
      <c r="U175" s="124"/>
      <c r="V175" s="124"/>
      <c r="W175" s="185"/>
      <c r="X175" s="186"/>
      <c r="Y175" s="186"/>
      <c r="Z175" s="121"/>
      <c r="AA175" s="121"/>
      <c r="AB175" s="121"/>
      <c r="AC175" s="121"/>
      <c r="AD175" s="121"/>
      <c r="AE175" s="187"/>
    </row>
    <row r="176" spans="1:31" outlineLevel="1" x14ac:dyDescent="0.3">
      <c r="B176" s="140"/>
      <c r="C176" s="140"/>
      <c r="D176" s="140"/>
      <c r="E176" s="140"/>
      <c r="F176" s="140"/>
      <c r="G176" s="140"/>
      <c r="H176" s="140"/>
      <c r="I176" s="140"/>
      <c r="J176" s="140"/>
      <c r="K176" s="140"/>
      <c r="L176" s="140"/>
      <c r="M176" s="124"/>
      <c r="N176" s="124"/>
      <c r="O176" s="124"/>
      <c r="P176" s="124"/>
      <c r="Q176" s="124"/>
      <c r="R176" s="124"/>
      <c r="S176" s="124"/>
      <c r="T176" s="124"/>
      <c r="U176" s="124"/>
      <c r="V176" s="124"/>
      <c r="W176" s="185"/>
      <c r="X176" s="186"/>
      <c r="Y176" s="186"/>
      <c r="Z176" s="121"/>
      <c r="AA176" s="121"/>
      <c r="AB176" s="121"/>
      <c r="AC176" s="121"/>
      <c r="AD176" s="121"/>
      <c r="AE176" s="187"/>
    </row>
    <row r="177" spans="2:31" outlineLevel="1" x14ac:dyDescent="0.3">
      <c r="B177" s="140"/>
      <c r="C177" s="140"/>
      <c r="D177" s="140"/>
      <c r="E177" s="140"/>
      <c r="F177" s="140"/>
      <c r="G177" s="140"/>
      <c r="H177" s="140"/>
      <c r="I177" s="140"/>
      <c r="J177" s="140"/>
      <c r="K177" s="140"/>
      <c r="L177" s="140"/>
      <c r="M177" s="124"/>
      <c r="N177" s="124"/>
      <c r="O177" s="124"/>
      <c r="P177" s="124"/>
      <c r="Q177" s="124"/>
      <c r="R177" s="124"/>
      <c r="S177" s="124"/>
      <c r="T177" s="124"/>
      <c r="U177" s="124"/>
      <c r="V177" s="124"/>
      <c r="W177" s="185"/>
      <c r="X177" s="186"/>
      <c r="Y177" s="186"/>
      <c r="Z177" s="121"/>
      <c r="AA177" s="121"/>
      <c r="AB177" s="121"/>
      <c r="AC177" s="121"/>
      <c r="AD177" s="121"/>
      <c r="AE177" s="187"/>
    </row>
    <row r="178" spans="2:31" outlineLevel="1" x14ac:dyDescent="0.3">
      <c r="B178" s="140"/>
      <c r="C178" s="140"/>
      <c r="D178" s="140"/>
      <c r="E178" s="140"/>
      <c r="F178" s="140"/>
      <c r="G178" s="140"/>
      <c r="H178" s="140"/>
      <c r="I178" s="140"/>
      <c r="J178" s="140"/>
      <c r="K178" s="140"/>
      <c r="L178" s="140"/>
      <c r="M178" s="124"/>
      <c r="N178" s="124"/>
      <c r="O178" s="124"/>
      <c r="P178" s="124"/>
      <c r="Q178" s="124"/>
      <c r="R178" s="124"/>
      <c r="S178" s="124"/>
      <c r="T178" s="124"/>
      <c r="U178" s="124"/>
      <c r="V178" s="124"/>
      <c r="W178" s="185"/>
      <c r="X178" s="186"/>
      <c r="Y178" s="186"/>
      <c r="Z178" s="121"/>
      <c r="AA178" s="121"/>
      <c r="AB178" s="121"/>
      <c r="AC178" s="121"/>
      <c r="AD178" s="121"/>
      <c r="AE178" s="187"/>
    </row>
    <row r="179" spans="2:31" outlineLevel="1" x14ac:dyDescent="0.3">
      <c r="B179" s="140"/>
      <c r="C179" s="140"/>
      <c r="D179" s="140"/>
      <c r="E179" s="140"/>
      <c r="F179" s="140"/>
      <c r="G179" s="140"/>
      <c r="H179" s="140"/>
      <c r="I179" s="140"/>
      <c r="J179" s="140"/>
      <c r="K179" s="140"/>
      <c r="L179" s="140"/>
      <c r="M179" s="124"/>
      <c r="N179" s="124"/>
      <c r="O179" s="124"/>
      <c r="P179" s="124"/>
      <c r="Q179" s="124"/>
      <c r="R179" s="124"/>
      <c r="S179" s="124"/>
      <c r="T179" s="124"/>
      <c r="U179" s="124"/>
      <c r="V179" s="124"/>
      <c r="W179" s="185"/>
      <c r="X179" s="186"/>
      <c r="Y179" s="186"/>
      <c r="Z179" s="121"/>
      <c r="AA179" s="121"/>
      <c r="AB179" s="121"/>
      <c r="AC179" s="121"/>
      <c r="AD179" s="121"/>
      <c r="AE179" s="187"/>
    </row>
    <row r="180" spans="2:31" outlineLevel="1" x14ac:dyDescent="0.3">
      <c r="B180" s="140"/>
      <c r="C180" s="140"/>
      <c r="D180" s="140"/>
      <c r="E180" s="140"/>
      <c r="F180" s="140"/>
      <c r="G180" s="140"/>
      <c r="H180" s="140"/>
      <c r="I180" s="140"/>
      <c r="J180" s="140"/>
      <c r="K180" s="140"/>
      <c r="L180" s="140"/>
      <c r="M180" s="124"/>
      <c r="N180" s="124"/>
      <c r="O180" s="124"/>
      <c r="P180" s="124"/>
      <c r="Q180" s="124"/>
      <c r="R180" s="124"/>
      <c r="S180" s="124"/>
      <c r="T180" s="124"/>
      <c r="U180" s="124"/>
      <c r="V180" s="124"/>
      <c r="W180" s="185"/>
      <c r="X180" s="186"/>
      <c r="Y180" s="186"/>
      <c r="Z180" s="121"/>
      <c r="AA180" s="121"/>
      <c r="AB180" s="121"/>
      <c r="AC180" s="121"/>
      <c r="AD180" s="121"/>
      <c r="AE180" s="187"/>
    </row>
    <row r="181" spans="2:31" outlineLevel="1" x14ac:dyDescent="0.3">
      <c r="B181" s="140"/>
      <c r="C181" s="140"/>
      <c r="D181" s="140"/>
      <c r="E181" s="140"/>
      <c r="F181" s="140"/>
      <c r="G181" s="140"/>
      <c r="H181" s="140"/>
      <c r="I181" s="140"/>
      <c r="J181" s="140"/>
      <c r="K181" s="140"/>
      <c r="L181" s="140"/>
      <c r="M181" s="124"/>
      <c r="N181" s="124"/>
      <c r="O181" s="124"/>
      <c r="P181" s="124"/>
      <c r="Q181" s="124"/>
      <c r="R181" s="124"/>
      <c r="S181" s="124"/>
      <c r="T181" s="124"/>
      <c r="U181" s="124"/>
      <c r="V181" s="124"/>
      <c r="W181" s="185"/>
      <c r="X181" s="186"/>
      <c r="Y181" s="186"/>
      <c r="Z181" s="121"/>
      <c r="AA181" s="121"/>
      <c r="AB181" s="121"/>
      <c r="AC181" s="121"/>
      <c r="AD181" s="121"/>
      <c r="AE181" s="187"/>
    </row>
    <row r="182" spans="2:31" outlineLevel="1" x14ac:dyDescent="0.3">
      <c r="B182" s="140"/>
      <c r="C182" s="140"/>
      <c r="D182" s="140"/>
      <c r="E182" s="140"/>
      <c r="F182" s="140"/>
      <c r="G182" s="140"/>
      <c r="H182" s="140"/>
      <c r="I182" s="140"/>
      <c r="J182" s="140"/>
      <c r="K182" s="140"/>
      <c r="L182" s="140"/>
      <c r="M182" s="124"/>
      <c r="N182" s="124"/>
      <c r="O182" s="124"/>
      <c r="P182" s="124"/>
      <c r="Q182" s="124"/>
      <c r="R182" s="124"/>
      <c r="S182" s="124"/>
      <c r="T182" s="124"/>
      <c r="U182" s="124"/>
      <c r="V182" s="124"/>
      <c r="W182" s="185"/>
      <c r="X182" s="186"/>
      <c r="Y182" s="186"/>
      <c r="Z182" s="121"/>
      <c r="AA182" s="121"/>
      <c r="AB182" s="121"/>
      <c r="AC182" s="121"/>
      <c r="AD182" s="121"/>
      <c r="AE182" s="187"/>
    </row>
    <row r="183" spans="2:31" outlineLevel="1" x14ac:dyDescent="0.3">
      <c r="B183" s="140"/>
      <c r="C183" s="140"/>
      <c r="D183" s="140"/>
      <c r="E183" s="140"/>
      <c r="F183" s="140"/>
      <c r="G183" s="140"/>
      <c r="H183" s="140"/>
      <c r="I183" s="140"/>
      <c r="J183" s="140"/>
      <c r="K183" s="140"/>
      <c r="L183" s="140"/>
      <c r="M183" s="124"/>
      <c r="N183" s="124"/>
      <c r="O183" s="124"/>
      <c r="P183" s="124"/>
      <c r="Q183" s="124"/>
      <c r="R183" s="124"/>
      <c r="S183" s="124"/>
      <c r="T183" s="124"/>
      <c r="U183" s="124"/>
      <c r="V183" s="124"/>
      <c r="W183" s="185"/>
      <c r="X183" s="186"/>
      <c r="Y183" s="186"/>
      <c r="Z183" s="121"/>
      <c r="AA183" s="121"/>
      <c r="AB183" s="121"/>
      <c r="AC183" s="121"/>
      <c r="AD183" s="121"/>
      <c r="AE183" s="187"/>
    </row>
    <row r="184" spans="2:31" outlineLevel="1" x14ac:dyDescent="0.3">
      <c r="B184" s="140"/>
      <c r="C184" s="140"/>
      <c r="D184" s="140"/>
      <c r="E184" s="140"/>
      <c r="F184" s="140"/>
      <c r="G184" s="140"/>
      <c r="H184" s="140"/>
      <c r="I184" s="140"/>
      <c r="J184" s="140"/>
      <c r="K184" s="140"/>
      <c r="L184" s="140"/>
      <c r="M184" s="124"/>
      <c r="N184" s="124"/>
      <c r="O184" s="124"/>
      <c r="P184" s="124"/>
      <c r="Q184" s="124"/>
      <c r="R184" s="124"/>
      <c r="S184" s="124"/>
      <c r="T184" s="124"/>
      <c r="U184" s="124"/>
      <c r="V184" s="124"/>
      <c r="W184" s="185"/>
      <c r="X184" s="186"/>
      <c r="Y184" s="186"/>
      <c r="Z184" s="121"/>
      <c r="AA184" s="121"/>
      <c r="AB184" s="121"/>
      <c r="AC184" s="121"/>
      <c r="AD184" s="121"/>
      <c r="AE184" s="187"/>
    </row>
    <row r="185" spans="2:31" outlineLevel="1" x14ac:dyDescent="0.3">
      <c r="B185" s="140"/>
      <c r="C185" s="140"/>
      <c r="D185" s="140"/>
      <c r="E185" s="140"/>
      <c r="F185" s="140"/>
      <c r="G185" s="140"/>
      <c r="H185" s="140"/>
      <c r="I185" s="140"/>
      <c r="J185" s="140"/>
      <c r="K185" s="140"/>
      <c r="L185" s="140"/>
      <c r="M185" s="124"/>
      <c r="N185" s="124"/>
      <c r="O185" s="124"/>
      <c r="P185" s="124"/>
      <c r="Q185" s="124"/>
      <c r="R185" s="124"/>
      <c r="S185" s="124"/>
      <c r="T185" s="124"/>
      <c r="U185" s="124"/>
      <c r="V185" s="124"/>
      <c r="W185" s="185"/>
      <c r="X185" s="186"/>
      <c r="Y185" s="186"/>
      <c r="Z185" s="121"/>
      <c r="AA185" s="121"/>
      <c r="AB185" s="121"/>
      <c r="AC185" s="121"/>
      <c r="AD185" s="121"/>
      <c r="AE185" s="187"/>
    </row>
    <row r="186" spans="2:31" outlineLevel="1" x14ac:dyDescent="0.3">
      <c r="B186" s="140"/>
      <c r="C186" s="140"/>
      <c r="D186" s="140"/>
      <c r="E186" s="140"/>
      <c r="F186" s="140"/>
      <c r="G186" s="140"/>
      <c r="H186" s="140"/>
      <c r="I186" s="140"/>
      <c r="J186" s="140"/>
      <c r="K186" s="140"/>
      <c r="L186" s="140"/>
      <c r="M186" s="124"/>
      <c r="N186" s="124"/>
      <c r="O186" s="124"/>
      <c r="P186" s="124"/>
      <c r="Q186" s="124"/>
      <c r="R186" s="124"/>
      <c r="S186" s="124"/>
      <c r="T186" s="124"/>
      <c r="U186" s="124"/>
      <c r="V186" s="124"/>
      <c r="W186" s="185"/>
      <c r="X186" s="186"/>
      <c r="Y186" s="186"/>
      <c r="Z186" s="121"/>
      <c r="AA186" s="121"/>
      <c r="AB186" s="121"/>
      <c r="AC186" s="121"/>
      <c r="AD186" s="121"/>
      <c r="AE186" s="187"/>
    </row>
    <row r="187" spans="2:31" outlineLevel="1" x14ac:dyDescent="0.3">
      <c r="B187" s="140"/>
      <c r="C187" s="140"/>
      <c r="D187" s="140"/>
      <c r="E187" s="140"/>
      <c r="F187" s="140"/>
      <c r="G187" s="140"/>
      <c r="H187" s="140"/>
      <c r="I187" s="140"/>
      <c r="J187" s="140"/>
      <c r="K187" s="140"/>
      <c r="L187" s="140"/>
      <c r="M187" s="124"/>
      <c r="N187" s="124"/>
      <c r="O187" s="124"/>
      <c r="P187" s="124"/>
      <c r="Q187" s="124"/>
      <c r="R187" s="124"/>
      <c r="S187" s="124"/>
      <c r="T187" s="124"/>
      <c r="U187" s="124"/>
      <c r="V187" s="124"/>
      <c r="W187" s="185"/>
      <c r="X187" s="186"/>
      <c r="Y187" s="186"/>
      <c r="Z187" s="121"/>
      <c r="AA187" s="121"/>
      <c r="AB187" s="121"/>
      <c r="AC187" s="121"/>
      <c r="AD187" s="121"/>
      <c r="AE187" s="187"/>
    </row>
    <row r="188" spans="2:31" outlineLevel="1" x14ac:dyDescent="0.3">
      <c r="B188" s="140"/>
      <c r="C188" s="140"/>
      <c r="D188" s="140"/>
      <c r="E188" s="140"/>
      <c r="F188" s="140"/>
      <c r="G188" s="140"/>
      <c r="H188" s="140"/>
      <c r="I188" s="140"/>
      <c r="J188" s="140"/>
      <c r="K188" s="140"/>
      <c r="L188" s="140"/>
      <c r="M188" s="124"/>
      <c r="N188" s="124"/>
      <c r="O188" s="124"/>
      <c r="P188" s="124"/>
      <c r="Q188" s="124"/>
      <c r="R188" s="124"/>
      <c r="S188" s="124"/>
      <c r="T188" s="124"/>
      <c r="U188" s="124"/>
      <c r="V188" s="124"/>
      <c r="W188" s="185"/>
      <c r="X188" s="186"/>
      <c r="Y188" s="186"/>
      <c r="Z188" s="121"/>
      <c r="AA188" s="121"/>
      <c r="AB188" s="121"/>
      <c r="AC188" s="121"/>
      <c r="AD188" s="121"/>
      <c r="AE188" s="187"/>
    </row>
    <row r="189" spans="2:31" outlineLevel="1" x14ac:dyDescent="0.3">
      <c r="B189" s="140"/>
      <c r="C189" s="140"/>
      <c r="D189" s="140"/>
      <c r="E189" s="140"/>
      <c r="F189" s="140"/>
      <c r="G189" s="140"/>
      <c r="H189" s="140"/>
      <c r="I189" s="140"/>
      <c r="J189" s="140"/>
      <c r="K189" s="140"/>
      <c r="L189" s="140"/>
      <c r="M189" s="124"/>
      <c r="N189" s="124"/>
      <c r="O189" s="124"/>
      <c r="P189" s="124"/>
      <c r="Q189" s="124"/>
      <c r="R189" s="124"/>
      <c r="S189" s="124"/>
      <c r="T189" s="124"/>
      <c r="U189" s="124"/>
      <c r="V189" s="124"/>
      <c r="W189" s="185"/>
      <c r="X189" s="186"/>
      <c r="Y189" s="186"/>
      <c r="Z189" s="121"/>
      <c r="AA189" s="121"/>
      <c r="AB189" s="121"/>
      <c r="AC189" s="121"/>
      <c r="AD189" s="121"/>
      <c r="AE189" s="187"/>
    </row>
    <row r="190" spans="2:31" outlineLevel="1" x14ac:dyDescent="0.3">
      <c r="B190" s="140"/>
      <c r="C190" s="140"/>
      <c r="D190" s="140"/>
      <c r="E190" s="140"/>
      <c r="F190" s="140"/>
      <c r="G190" s="140"/>
      <c r="H190" s="140"/>
      <c r="I190" s="140"/>
      <c r="J190" s="140"/>
      <c r="K190" s="140"/>
      <c r="L190" s="140"/>
      <c r="M190" s="124"/>
      <c r="N190" s="124"/>
      <c r="O190" s="124"/>
      <c r="P190" s="124"/>
      <c r="Q190" s="124"/>
      <c r="R190" s="124"/>
      <c r="S190" s="124"/>
      <c r="T190" s="124"/>
      <c r="U190" s="124"/>
      <c r="V190" s="124"/>
      <c r="W190" s="185"/>
      <c r="X190" s="186"/>
      <c r="Y190" s="186"/>
      <c r="Z190" s="121"/>
      <c r="AA190" s="121"/>
      <c r="AB190" s="121"/>
      <c r="AC190" s="121"/>
      <c r="AD190" s="121"/>
      <c r="AE190" s="187"/>
    </row>
    <row r="191" spans="2:31" outlineLevel="1" x14ac:dyDescent="0.3">
      <c r="B191" s="140"/>
      <c r="C191" s="140"/>
      <c r="D191" s="140"/>
      <c r="E191" s="140"/>
      <c r="F191" s="140"/>
      <c r="G191" s="140"/>
      <c r="H191" s="140"/>
      <c r="I191" s="140"/>
      <c r="J191" s="140"/>
      <c r="K191" s="140"/>
      <c r="L191" s="140"/>
      <c r="M191" s="124"/>
      <c r="N191" s="124"/>
      <c r="O191" s="124"/>
      <c r="P191" s="124"/>
      <c r="Q191" s="124"/>
      <c r="R191" s="124"/>
      <c r="S191" s="124"/>
      <c r="T191" s="124"/>
      <c r="U191" s="124"/>
      <c r="V191" s="124"/>
      <c r="W191" s="185"/>
      <c r="X191" s="186"/>
      <c r="Y191" s="186"/>
      <c r="Z191" s="121"/>
      <c r="AA191" s="121"/>
      <c r="AB191" s="121"/>
      <c r="AC191" s="121"/>
      <c r="AD191" s="121"/>
      <c r="AE191" s="187"/>
    </row>
    <row r="192" spans="2:31" outlineLevel="1" x14ac:dyDescent="0.3">
      <c r="B192" s="140"/>
      <c r="C192" s="140"/>
      <c r="D192" s="140"/>
      <c r="E192" s="140"/>
      <c r="F192" s="140"/>
      <c r="G192" s="140"/>
      <c r="H192" s="140"/>
      <c r="I192" s="140"/>
      <c r="J192" s="140"/>
      <c r="K192" s="140"/>
      <c r="L192" s="140"/>
      <c r="M192" s="124"/>
      <c r="N192" s="124"/>
      <c r="O192" s="124"/>
      <c r="P192" s="124"/>
      <c r="Q192" s="124"/>
      <c r="R192" s="124"/>
      <c r="S192" s="124"/>
      <c r="T192" s="124"/>
      <c r="U192" s="124"/>
      <c r="V192" s="124"/>
      <c r="W192" s="185"/>
      <c r="X192" s="186"/>
      <c r="Y192" s="186"/>
      <c r="Z192" s="121"/>
      <c r="AA192" s="121"/>
      <c r="AB192" s="121"/>
      <c r="AC192" s="121"/>
      <c r="AD192" s="121"/>
      <c r="AE192" s="187"/>
    </row>
    <row r="193" spans="1:48" outlineLevel="1" x14ac:dyDescent="0.3">
      <c r="B193" s="140"/>
      <c r="C193" s="140"/>
      <c r="D193" s="140"/>
      <c r="E193" s="140"/>
      <c r="F193" s="140"/>
      <c r="G193" s="140"/>
      <c r="H193" s="140"/>
      <c r="I193" s="140"/>
      <c r="J193" s="140"/>
      <c r="K193" s="140"/>
      <c r="L193" s="140"/>
      <c r="M193" s="124"/>
      <c r="N193" s="124"/>
      <c r="O193" s="124"/>
      <c r="P193" s="124"/>
      <c r="Q193" s="124"/>
      <c r="R193" s="124"/>
      <c r="S193" s="124"/>
      <c r="T193" s="124"/>
      <c r="U193" s="124"/>
      <c r="V193" s="124"/>
      <c r="W193" s="185"/>
      <c r="X193" s="186"/>
      <c r="Y193" s="186"/>
      <c r="Z193" s="121"/>
      <c r="AA193" s="121"/>
      <c r="AB193" s="121"/>
      <c r="AC193" s="121"/>
      <c r="AD193" s="121"/>
      <c r="AE193" s="187"/>
    </row>
    <row r="194" spans="1:48" outlineLevel="1" x14ac:dyDescent="0.3">
      <c r="B194" s="140"/>
      <c r="C194" s="140"/>
      <c r="D194" s="140"/>
      <c r="E194" s="140"/>
      <c r="F194" s="140"/>
      <c r="G194" s="140"/>
      <c r="H194" s="140"/>
      <c r="I194" s="140"/>
      <c r="J194" s="140"/>
      <c r="K194" s="140"/>
      <c r="L194" s="140"/>
      <c r="M194" s="124"/>
      <c r="N194" s="124"/>
      <c r="O194" s="124"/>
      <c r="P194" s="124"/>
      <c r="Q194" s="124"/>
      <c r="R194" s="124"/>
      <c r="S194" s="124"/>
      <c r="T194" s="124"/>
      <c r="U194" s="124"/>
      <c r="V194" s="124"/>
      <c r="W194" s="185"/>
      <c r="X194" s="186"/>
      <c r="Y194" s="186"/>
      <c r="Z194" s="121"/>
      <c r="AA194" s="121"/>
      <c r="AB194" s="121"/>
      <c r="AC194" s="121"/>
      <c r="AD194" s="121"/>
      <c r="AE194" s="187"/>
    </row>
    <row r="195" spans="1:48" outlineLevel="1" x14ac:dyDescent="0.3">
      <c r="B195" s="140"/>
      <c r="C195" s="140"/>
      <c r="D195" s="140"/>
      <c r="E195" s="140"/>
      <c r="F195" s="140"/>
      <c r="G195" s="140"/>
      <c r="H195" s="140"/>
      <c r="I195" s="140"/>
      <c r="J195" s="140"/>
      <c r="K195" s="140"/>
      <c r="L195" s="140"/>
      <c r="M195" s="124"/>
      <c r="N195" s="124"/>
      <c r="O195" s="124"/>
      <c r="P195" s="124"/>
      <c r="Q195" s="124"/>
      <c r="R195" s="124"/>
      <c r="S195" s="124"/>
      <c r="T195" s="124"/>
      <c r="U195" s="124"/>
      <c r="V195" s="124"/>
      <c r="W195" s="185"/>
      <c r="X195" s="186"/>
      <c r="Y195" s="186"/>
      <c r="Z195" s="121"/>
      <c r="AA195" s="121"/>
      <c r="AB195" s="121"/>
      <c r="AC195" s="121"/>
      <c r="AD195" s="121"/>
      <c r="AE195" s="187"/>
    </row>
    <row r="196" spans="1:48" outlineLevel="1" x14ac:dyDescent="0.3">
      <c r="B196" s="140"/>
      <c r="C196" s="140"/>
      <c r="D196" s="140"/>
      <c r="E196" s="140"/>
      <c r="F196" s="140"/>
      <c r="G196" s="140"/>
      <c r="H196" s="140"/>
      <c r="I196" s="140"/>
      <c r="J196" s="140"/>
      <c r="K196" s="140"/>
      <c r="L196" s="140"/>
      <c r="M196" s="124"/>
      <c r="N196" s="124"/>
      <c r="O196" s="124"/>
      <c r="P196" s="124"/>
      <c r="Q196" s="124"/>
      <c r="R196" s="124"/>
      <c r="S196" s="124"/>
      <c r="T196" s="124"/>
      <c r="U196" s="124"/>
      <c r="V196" s="124"/>
      <c r="W196" s="185"/>
      <c r="X196" s="186"/>
      <c r="Y196" s="186"/>
      <c r="Z196" s="121"/>
      <c r="AA196" s="121"/>
      <c r="AB196" s="121"/>
      <c r="AC196" s="121"/>
      <c r="AD196" s="121"/>
      <c r="AE196" s="187"/>
    </row>
    <row r="197" spans="1:48" outlineLevel="1" x14ac:dyDescent="0.3">
      <c r="B197" s="140"/>
      <c r="C197" s="140"/>
      <c r="D197" s="140"/>
      <c r="E197" s="140"/>
      <c r="F197" s="140"/>
      <c r="G197" s="140"/>
      <c r="H197" s="140"/>
      <c r="I197" s="140"/>
      <c r="J197" s="140"/>
      <c r="K197" s="140"/>
      <c r="L197" s="140"/>
      <c r="M197" s="124"/>
      <c r="N197" s="124"/>
      <c r="O197" s="124"/>
      <c r="P197" s="124"/>
      <c r="Q197" s="124"/>
      <c r="R197" s="124"/>
      <c r="S197" s="124"/>
      <c r="T197" s="124"/>
      <c r="U197" s="124"/>
      <c r="V197" s="124"/>
      <c r="W197" s="185"/>
      <c r="X197" s="186"/>
      <c r="Y197" s="186"/>
      <c r="Z197" s="121"/>
      <c r="AA197" s="121"/>
      <c r="AB197" s="121"/>
      <c r="AC197" s="121"/>
      <c r="AD197" s="121"/>
      <c r="AE197" s="187"/>
    </row>
    <row r="198" spans="1:48" outlineLevel="1" x14ac:dyDescent="0.3">
      <c r="B198" s="140"/>
      <c r="C198" s="140"/>
      <c r="D198" s="140"/>
      <c r="E198" s="140"/>
      <c r="F198" s="140"/>
      <c r="G198" s="140"/>
      <c r="H198" s="140"/>
      <c r="I198" s="140"/>
      <c r="J198" s="140"/>
      <c r="K198" s="140"/>
      <c r="L198" s="140"/>
      <c r="M198" s="124"/>
      <c r="N198" s="124"/>
      <c r="O198" s="124"/>
      <c r="P198" s="124"/>
      <c r="Q198" s="124"/>
      <c r="R198" s="124"/>
      <c r="S198" s="124"/>
      <c r="T198" s="124"/>
      <c r="U198" s="124"/>
      <c r="V198" s="124"/>
      <c r="W198" s="185"/>
      <c r="X198" s="186"/>
      <c r="Y198" s="186"/>
      <c r="Z198" s="121"/>
      <c r="AA198" s="121"/>
      <c r="AB198" s="121"/>
      <c r="AC198" s="121"/>
      <c r="AD198" s="121"/>
      <c r="AE198" s="187"/>
    </row>
    <row r="199" spans="1:48" outlineLevel="1" x14ac:dyDescent="0.3">
      <c r="B199" s="140"/>
      <c r="C199" s="140"/>
      <c r="D199" s="140"/>
      <c r="E199" s="140"/>
      <c r="F199" s="140"/>
      <c r="G199" s="140"/>
      <c r="H199" s="140"/>
      <c r="I199" s="140"/>
      <c r="J199" s="140"/>
      <c r="K199" s="140"/>
      <c r="L199" s="140"/>
      <c r="M199" s="124"/>
      <c r="N199" s="124"/>
      <c r="O199" s="124"/>
      <c r="P199" s="124"/>
      <c r="Q199" s="124"/>
      <c r="R199" s="124"/>
      <c r="S199" s="124"/>
      <c r="T199" s="124"/>
      <c r="U199" s="124"/>
      <c r="V199" s="124"/>
      <c r="W199" s="185"/>
      <c r="X199" s="186"/>
      <c r="Y199" s="186"/>
      <c r="Z199" s="121"/>
      <c r="AA199" s="121"/>
      <c r="AB199" s="121"/>
      <c r="AC199" s="121"/>
      <c r="AD199" s="121"/>
      <c r="AE199" s="187"/>
    </row>
    <row r="200" spans="1:48" outlineLevel="1" x14ac:dyDescent="0.3">
      <c r="B200" s="140"/>
      <c r="C200" s="140"/>
      <c r="D200" s="140"/>
      <c r="E200" s="140"/>
      <c r="F200" s="140"/>
      <c r="G200" s="140"/>
      <c r="H200" s="140"/>
      <c r="I200" s="140"/>
      <c r="J200" s="140"/>
      <c r="K200" s="140"/>
      <c r="L200" s="140"/>
      <c r="M200" s="124"/>
      <c r="N200" s="124"/>
      <c r="O200" s="124"/>
      <c r="P200" s="124"/>
      <c r="Q200" s="124"/>
      <c r="R200" s="124"/>
      <c r="S200" s="124"/>
      <c r="T200" s="124"/>
      <c r="U200" s="124"/>
      <c r="V200" s="124"/>
      <c r="W200" s="185"/>
      <c r="X200" s="186"/>
      <c r="Y200" s="186"/>
      <c r="Z200" s="121"/>
      <c r="AA200" s="121"/>
      <c r="AB200" s="121"/>
      <c r="AC200" s="121"/>
      <c r="AD200" s="121"/>
      <c r="AE200" s="187"/>
    </row>
    <row r="201" spans="1:48" outlineLevel="1" x14ac:dyDescent="0.3">
      <c r="B201" s="140"/>
      <c r="C201" s="140"/>
      <c r="D201" s="140"/>
      <c r="E201" s="140"/>
      <c r="F201" s="140"/>
      <c r="G201" s="140"/>
      <c r="H201" s="140"/>
      <c r="I201" s="140"/>
      <c r="J201" s="140"/>
      <c r="K201" s="140"/>
      <c r="L201" s="140"/>
      <c r="M201" s="124"/>
      <c r="N201" s="124"/>
      <c r="O201" s="124"/>
      <c r="P201" s="124"/>
      <c r="Q201" s="124"/>
      <c r="R201" s="124"/>
      <c r="S201" s="124"/>
      <c r="T201" s="124"/>
      <c r="U201" s="124"/>
      <c r="V201" s="124"/>
      <c r="W201" s="185"/>
      <c r="X201" s="186"/>
      <c r="Y201" s="186"/>
      <c r="Z201" s="121"/>
      <c r="AA201" s="121"/>
      <c r="AB201" s="121"/>
      <c r="AC201" s="121"/>
      <c r="AD201" s="121"/>
      <c r="AE201" s="187"/>
    </row>
    <row r="202" spans="1:48" outlineLevel="1" x14ac:dyDescent="0.3">
      <c r="B202" s="140"/>
      <c r="C202" s="140"/>
      <c r="D202" s="140"/>
      <c r="E202" s="140"/>
      <c r="F202" s="140"/>
      <c r="G202" s="140"/>
      <c r="H202" s="140"/>
      <c r="I202" s="140"/>
      <c r="J202" s="140"/>
      <c r="K202" s="140"/>
      <c r="L202" s="140"/>
      <c r="M202" s="124"/>
      <c r="N202" s="124"/>
      <c r="O202" s="124"/>
      <c r="P202" s="124"/>
      <c r="Q202" s="124"/>
      <c r="R202" s="124"/>
      <c r="S202" s="124"/>
      <c r="T202" s="124"/>
      <c r="U202" s="124"/>
      <c r="V202" s="124"/>
      <c r="W202" s="185"/>
      <c r="X202" s="186"/>
      <c r="Y202" s="186"/>
      <c r="Z202" s="121"/>
      <c r="AA202" s="121"/>
      <c r="AB202" s="121"/>
      <c r="AC202" s="121"/>
      <c r="AD202" s="121"/>
      <c r="AE202" s="187"/>
    </row>
    <row r="203" spans="1:48" outlineLevel="1" x14ac:dyDescent="0.3">
      <c r="B203" s="140"/>
      <c r="C203" s="140"/>
      <c r="D203" s="140"/>
      <c r="E203" s="140"/>
      <c r="F203" s="140"/>
      <c r="G203" s="140"/>
      <c r="H203" s="140"/>
      <c r="I203" s="140"/>
      <c r="J203" s="140"/>
      <c r="K203" s="140"/>
      <c r="L203" s="140"/>
      <c r="M203" s="124"/>
      <c r="N203" s="124"/>
      <c r="O203" s="124"/>
      <c r="P203" s="124"/>
      <c r="Q203" s="124"/>
      <c r="R203" s="124"/>
      <c r="S203" s="124"/>
      <c r="T203" s="124"/>
      <c r="U203" s="124"/>
      <c r="V203" s="124"/>
      <c r="W203" s="185"/>
      <c r="X203" s="186"/>
      <c r="Y203" s="186"/>
      <c r="Z203" s="121"/>
      <c r="AA203" s="121"/>
      <c r="AB203" s="121"/>
      <c r="AC203" s="121"/>
      <c r="AD203" s="121"/>
      <c r="AE203" s="187"/>
    </row>
    <row r="204" spans="1:48" outlineLevel="1" x14ac:dyDescent="0.3">
      <c r="B204" s="140"/>
      <c r="C204" s="140"/>
      <c r="D204" s="140"/>
      <c r="E204" s="140"/>
      <c r="F204" s="140"/>
      <c r="G204" s="140"/>
      <c r="H204" s="140"/>
      <c r="I204" s="140"/>
      <c r="J204" s="140"/>
      <c r="K204" s="140"/>
      <c r="L204" s="140"/>
      <c r="M204" s="124"/>
      <c r="N204" s="124"/>
      <c r="O204" s="124"/>
      <c r="P204" s="124"/>
      <c r="Q204" s="124"/>
      <c r="R204" s="124"/>
      <c r="S204" s="124"/>
      <c r="T204" s="124"/>
      <c r="U204" s="124"/>
      <c r="V204" s="124"/>
      <c r="W204" s="185"/>
      <c r="X204" s="186"/>
      <c r="Y204" s="186"/>
      <c r="Z204" s="121"/>
      <c r="AA204" s="121"/>
      <c r="AB204" s="121"/>
      <c r="AC204" s="121"/>
      <c r="AD204" s="121"/>
      <c r="AE204" s="187"/>
    </row>
    <row r="205" spans="1:48" x14ac:dyDescent="0.3">
      <c r="B205" s="140"/>
      <c r="C205" s="140"/>
      <c r="D205" s="140"/>
      <c r="E205" s="140"/>
      <c r="F205" s="140"/>
      <c r="G205" s="140"/>
      <c r="H205" s="140"/>
      <c r="I205" s="140"/>
      <c r="J205" s="140"/>
      <c r="K205" s="140"/>
      <c r="L205" s="140"/>
      <c r="M205" s="124"/>
      <c r="N205" s="124"/>
      <c r="O205" s="124"/>
      <c r="P205" s="124"/>
      <c r="Q205" s="124"/>
      <c r="R205" s="124"/>
      <c r="S205" s="124"/>
      <c r="T205" s="124"/>
      <c r="U205" s="124"/>
      <c r="V205" s="124"/>
      <c r="W205" s="185"/>
      <c r="X205" s="186"/>
      <c r="Y205" s="186"/>
      <c r="Z205" s="121"/>
      <c r="AA205" s="121"/>
      <c r="AB205" s="121"/>
      <c r="AC205" s="121"/>
      <c r="AD205" s="121"/>
      <c r="AE205" s="187"/>
    </row>
    <row r="206" spans="1:48" s="102" customFormat="1" x14ac:dyDescent="0.3">
      <c r="A206" s="176" t="s">
        <v>157</v>
      </c>
      <c r="B206" s="140" t="str" cm="1">
        <f t="array" ref="B206">IFERROR(_xll.FDS($A$1,""&amp;#REF!&amp;"("&amp;(CHOOSE($C$1,$AG$4,#REF!))&amp;","&amp;B$7&amp;",,,,"&amp;$E$1&amp;")"),"")</f>
        <v/>
      </c>
      <c r="C206" s="140" t="str" cm="1">
        <f t="array" ref="C206">IFERROR(_xll.FDS($A$1,""&amp;#REF!&amp;"("&amp;(CHOOSE($C$1,$AG$4,#REF!))&amp;","&amp;C$7&amp;",,,,"&amp;$E$1&amp;")"),"")</f>
        <v/>
      </c>
      <c r="D206" s="140" t="str" cm="1">
        <f t="array" ref="D206">IFERROR(_xll.FDS($A$1,""&amp;#REF!&amp;"("&amp;(CHOOSE($C$1,$AG$4,#REF!))&amp;","&amp;D$7&amp;",,,,"&amp;$E$1&amp;")"),"")</f>
        <v/>
      </c>
      <c r="E206" s="140" t="str" cm="1">
        <f t="array" ref="E206">IFERROR(_xll.FDS($A$1,""&amp;#REF!&amp;"("&amp;(CHOOSE($C$1,$AG$4,#REF!))&amp;","&amp;E$7&amp;",,,,"&amp;$E$1&amp;")"),"")</f>
        <v/>
      </c>
      <c r="F206" s="140" t="str" cm="1">
        <f t="array" ref="F206">IFERROR(_xll.FDS($A$1,""&amp;#REF!&amp;"("&amp;(CHOOSE($C$1,$AG$4,#REF!))&amp;","&amp;F$7&amp;",,,,"&amp;$E$1&amp;")"),"")</f>
        <v/>
      </c>
      <c r="G206" s="140" t="str" cm="1">
        <f t="array" ref="G206">IFERROR(_xll.FDS($A$1,""&amp;#REF!&amp;"("&amp;(CHOOSE($C$1,$AG$4,#REF!))&amp;","&amp;G$7&amp;",,,,"&amp;$E$1&amp;")"),"")</f>
        <v/>
      </c>
      <c r="H206" s="140" t="str" cm="1">
        <f t="array" ref="H206">IFERROR(_xll.FDS($A$1,""&amp;#REF!&amp;"("&amp;(CHOOSE($C$1,$AG$4,#REF!))&amp;","&amp;H$7&amp;",,,,"&amp;$E$1&amp;")"),"")</f>
        <v/>
      </c>
      <c r="I206" s="140" t="str" cm="1">
        <f t="array" ref="I206">IFERROR(_xll.FDS($A$1,""&amp;#REF!&amp;"("&amp;(CHOOSE($C$1,$AG$4,#REF!))&amp;","&amp;I$7&amp;",,,,"&amp;$E$1&amp;")"),"")</f>
        <v/>
      </c>
      <c r="J206" s="140" t="str" cm="1">
        <f t="array" ref="J206">IFERROR(_xll.FDS($A$1,""&amp;#REF!&amp;"("&amp;(CHOOSE($C$1,$AG$4,#REF!))&amp;","&amp;J$7&amp;",,,,"&amp;$E$1&amp;")"),"")</f>
        <v/>
      </c>
      <c r="K206" s="140" t="str" cm="1">
        <f t="array" ref="K206">IFERROR(_xll.FDS($A$1,""&amp;#REF!&amp;"("&amp;(CHOOSE($C$1,$AG$4,#REF!))&amp;","&amp;K$7&amp;",,,,"&amp;$E$1&amp;")"),"")</f>
        <v/>
      </c>
      <c r="L206" s="140" t="str" cm="1">
        <f t="array" ref="L206">IFERROR(_xll.FDS($A$1,""&amp;#REF!&amp;"("&amp;(CHOOSE($C$1,$AG$4,#REF!))&amp;","&amp;L$7&amp;",,,,"&amp;$E$1&amp;")"),"")</f>
        <v/>
      </c>
      <c r="M206" s="124"/>
      <c r="N206" s="124"/>
      <c r="O206" s="124"/>
      <c r="P206" s="124"/>
      <c r="Q206" s="124"/>
      <c r="R206" s="124"/>
      <c r="S206" s="124"/>
      <c r="T206" s="124"/>
      <c r="U206" s="124"/>
      <c r="V206" s="124"/>
      <c r="W206" s="178"/>
      <c r="X206" s="179"/>
      <c r="Y206" s="179"/>
      <c r="Z206" s="180"/>
      <c r="AA206" s="180"/>
      <c r="AB206" s="180"/>
      <c r="AC206" s="180"/>
      <c r="AD206" s="180"/>
      <c r="AE206" s="181"/>
      <c r="AL206" s="79"/>
      <c r="AM206" s="79"/>
      <c r="AN206" s="79"/>
      <c r="AO206" s="79"/>
      <c r="AP206" s="79"/>
      <c r="AQ206" s="79"/>
      <c r="AR206" s="79"/>
      <c r="AS206" s="79"/>
      <c r="AT206" s="79"/>
      <c r="AU206" s="79"/>
      <c r="AV206" s="79"/>
    </row>
    <row r="207" spans="1:48" s="102" customFormat="1" outlineLevel="1" x14ac:dyDescent="0.3">
      <c r="A207" s="176" t="s">
        <v>158</v>
      </c>
      <c r="B207" s="140"/>
      <c r="C207" s="140"/>
      <c r="D207" s="140"/>
      <c r="E207" s="140"/>
      <c r="F207" s="140"/>
      <c r="G207" s="140"/>
      <c r="H207" s="140"/>
      <c r="I207" s="140"/>
      <c r="J207" s="140"/>
      <c r="K207" s="140"/>
      <c r="L207" s="140"/>
      <c r="M207" s="124"/>
      <c r="N207" s="124"/>
      <c r="O207" s="124"/>
      <c r="P207" s="124"/>
      <c r="Q207" s="124"/>
      <c r="R207" s="124"/>
      <c r="S207" s="124"/>
      <c r="T207" s="124"/>
      <c r="U207" s="124"/>
      <c r="V207" s="124"/>
      <c r="W207" s="178"/>
      <c r="X207" s="179"/>
      <c r="Y207" s="179"/>
      <c r="Z207" s="180"/>
      <c r="AA207" s="180"/>
      <c r="AB207" s="180"/>
      <c r="AC207" s="180"/>
      <c r="AD207" s="180"/>
      <c r="AE207" s="181"/>
      <c r="AL207" s="79"/>
      <c r="AM207" s="79"/>
      <c r="AN207" s="79"/>
      <c r="AO207" s="79"/>
      <c r="AP207" s="79"/>
      <c r="AQ207" s="79"/>
      <c r="AR207" s="79"/>
      <c r="AS207" s="79"/>
      <c r="AT207" s="79"/>
      <c r="AU207" s="79"/>
      <c r="AV207" s="79"/>
    </row>
    <row r="208" spans="1:48" outlineLevel="1" x14ac:dyDescent="0.3">
      <c r="A208" s="79" t="s">
        <v>126</v>
      </c>
      <c r="B208" s="140">
        <f>CHOOSE(IF($B$1=2,2,1),'GAAP-IFRS'!E50,IF('Broker Actual'!E50="-",'GAAP-IFRS'!E50,'Broker Actual'!E50))</f>
        <v>29.835000000000001</v>
      </c>
      <c r="C208" s="140">
        <f>CHOOSE(IF($B$1=2,2,1),'GAAP-IFRS'!F50,IF('Broker Actual'!F50="-",'GAAP-IFRS'!F50,'Broker Actual'!F50))</f>
        <v>65.457999999999998</v>
      </c>
      <c r="D208" s="140">
        <f>CHOOSE(IF($B$1=2,2,1),'GAAP-IFRS'!G50,IF('Broker Actual'!G50="-",'GAAP-IFRS'!G50,'Broker Actual'!G50))</f>
        <v>62.664000000000001</v>
      </c>
      <c r="E208" s="140">
        <f>CHOOSE(IF($B$1=2,2,1),'GAAP-IFRS'!H50,IF('Broker Actual'!H50="-",'GAAP-IFRS'!H50,'Broker Actual'!H50))</f>
        <v>65.861000000000004</v>
      </c>
      <c r="F208" s="140">
        <f>CHOOSE(IF($B$1=2,2,1),'GAAP-IFRS'!I50,IF('Broker Actual'!I50="-",'GAAP-IFRS'!I50,'Broker Actual'!I50))</f>
        <v>29.021000000000001</v>
      </c>
      <c r="G208" s="140">
        <f>CHOOSE(IF($B$1=2,2,1),'GAAP-IFRS'!J50,IF('Broker Actual'!J50="-",'GAAP-IFRS'!J50,'Broker Actual'!J50))</f>
        <v>-6.8929999999999998</v>
      </c>
      <c r="H208" s="140">
        <f>CHOOSE(IF($B$1=2,2,1),'GAAP-IFRS'!K50,IF('Broker Actual'!K50="-",'GAAP-IFRS'!K50,'Broker Actual'!K50))</f>
        <v>17.725000000000001</v>
      </c>
      <c r="I208" s="140">
        <f>CHOOSE(IF($B$1=2,2,1),'GAAP-IFRS'!L50,IF('Broker Actual'!L50="-",'GAAP-IFRS'!L50,'Broker Actual'!L50))</f>
        <v>26.576000000000001</v>
      </c>
      <c r="J208" s="140">
        <f>CHOOSE(IF($B$1=2,2,1),'GAAP-IFRS'!M50,IF('Broker Actual'!M50="-",'GAAP-IFRS'!M50,'Broker Actual'!M50))</f>
        <v>27.58</v>
      </c>
      <c r="K208" s="140">
        <f>CHOOSE(IF($B$1=2,2,1),'GAAP-IFRS'!N50,IF('Broker Actual'!N50="-",'GAAP-IFRS'!N50,'Broker Actual'!N50))</f>
        <v>7.242</v>
      </c>
      <c r="L208" s="140">
        <f>CHOOSE(IF($B$1=2,2,1),'GAAP-IFRS'!O50,IF('Broker Actual'!O50="-",'GAAP-IFRS'!O50,'Broker Actual'!O50))</f>
        <v>-54.603000000000002</v>
      </c>
      <c r="M208" s="141">
        <f>M128</f>
        <v>29.986902731617661</v>
      </c>
      <c r="N208" s="141">
        <f>N128</f>
        <v>15.971403532454319</v>
      </c>
      <c r="O208" s="141">
        <f>O128</f>
        <v>16.615069227616644</v>
      </c>
      <c r="P208" s="141">
        <f>P128</f>
        <v>53.281785873529799</v>
      </c>
      <c r="Q208" s="141">
        <f>Q128</f>
        <v>58.849933082607933</v>
      </c>
      <c r="R208" s="124"/>
      <c r="S208" s="124"/>
      <c r="T208" s="124"/>
      <c r="U208" s="124"/>
      <c r="V208" s="124"/>
      <c r="W208" s="125"/>
      <c r="X208" s="126" t="s">
        <v>91</v>
      </c>
      <c r="Y208" s="126" t="s">
        <v>159</v>
      </c>
      <c r="Z208" s="124" t="str" cm="1">
        <f t="array" ref="Z208">_xll.FDSC("--",$A$1,""&amp;$X208&amp;"("&amp;$Y208&amp;","&amp;D$2&amp;",ANNUAL_ROLL,+1,0,,,'CURRENCY="&amp;$E$1&amp;"')")</f>
        <v>--</v>
      </c>
      <c r="AA208" s="124" t="str" cm="1">
        <f t="array" ref="AA208">_xll.FDSC("--",$A$1,""&amp;$X208&amp;"("&amp;$Y208&amp;","&amp;D$2&amp;",ANNUAL_ROLL,+2,0,,,'CURRENCY="&amp;$E$1&amp;"')")</f>
        <v>--</v>
      </c>
      <c r="AB208" s="124" t="str" cm="1">
        <f t="array" ref="AB208">_xll.FDSC("--",$A$1,""&amp;$X208&amp;"("&amp;$Y208&amp;","&amp;D$2&amp;",ANNUAL_ROLL,+3,0,,,'CURRENCY="&amp;$E$1&amp;"')")</f>
        <v>--</v>
      </c>
      <c r="AC208" s="124"/>
      <c r="AD208" s="124" cm="1">
        <f t="array" ref="AD208">_xll.FDSC("--",$A$1,"FF_FUNDS_OPER_GROSS(LTM_R,0,,,,"&amp;$E$1&amp;")@FF_FUNDS_OPER_GROSS(LTM_SEMI_R,0,,,,"&amp;$E$1&amp;")")</f>
        <v>-18.521000000000001</v>
      </c>
      <c r="AE208" s="127"/>
    </row>
    <row r="209" spans="1:31" outlineLevel="1" x14ac:dyDescent="0.3">
      <c r="A209" s="78" t="s">
        <v>160</v>
      </c>
      <c r="B209" s="140" t="str">
        <f>CHOOSE(IF($B$1=2,2,1),'GAAP-IFRS'!E51,IF('Broker Actual'!E51="-",'GAAP-IFRS'!E51,'Broker Actual'!E51))</f>
        <v/>
      </c>
      <c r="C209" s="140" t="str">
        <f>CHOOSE(IF($B$1=2,2,1),'GAAP-IFRS'!F51,IF('Broker Actual'!F51="-",'GAAP-IFRS'!F51,'Broker Actual'!F51))</f>
        <v/>
      </c>
      <c r="D209" s="140" t="str">
        <f>CHOOSE(IF($B$1=2,2,1),'GAAP-IFRS'!G51,IF('Broker Actual'!G51="-",'GAAP-IFRS'!G51,'Broker Actual'!G51))</f>
        <v/>
      </c>
      <c r="E209" s="140" t="str">
        <f>CHOOSE(IF($B$1=2,2,1),'GAAP-IFRS'!H51,IF('Broker Actual'!H51="-",'GAAP-IFRS'!H51,'Broker Actual'!H51))</f>
        <v/>
      </c>
      <c r="F209" s="140" t="str">
        <f>CHOOSE(IF($B$1=2,2,1),'GAAP-IFRS'!I51,IF('Broker Actual'!I51="-",'GAAP-IFRS'!I51,'Broker Actual'!I51))</f>
        <v/>
      </c>
      <c r="G209" s="140" t="str">
        <f>CHOOSE(IF($B$1=2,2,1),'GAAP-IFRS'!J51,IF('Broker Actual'!J51="-",'GAAP-IFRS'!J51,'Broker Actual'!J51))</f>
        <v/>
      </c>
      <c r="H209" s="140" t="str">
        <f>CHOOSE(IF($B$1=2,2,1),'GAAP-IFRS'!K51,IF('Broker Actual'!K51="-",'GAAP-IFRS'!K51,'Broker Actual'!K51))</f>
        <v/>
      </c>
      <c r="I209" s="140" t="str">
        <f>CHOOSE(IF($B$1=2,2,1),'GAAP-IFRS'!L51,IF('Broker Actual'!L51="-",'GAAP-IFRS'!L51,'Broker Actual'!L51))</f>
        <v/>
      </c>
      <c r="J209" s="140" t="str">
        <f>CHOOSE(IF($B$1=2,2,1),'GAAP-IFRS'!M51,IF('Broker Actual'!M51="-",'GAAP-IFRS'!M51,'Broker Actual'!M51))</f>
        <v/>
      </c>
      <c r="K209" s="140" t="str">
        <f>CHOOSE(IF($B$1=2,2,1),'GAAP-IFRS'!N51,IF('Broker Actual'!N51="-",'GAAP-IFRS'!N51,'Broker Actual'!N51))</f>
        <v/>
      </c>
      <c r="L209" s="140" t="str">
        <f>CHOOSE(IF($B$1=2,2,1),'GAAP-IFRS'!O51,IF('Broker Actual'!O51="-",'GAAP-IFRS'!O51,'Broker Actual'!O51))</f>
        <v/>
      </c>
      <c r="M209" s="141">
        <f>M210*M$57</f>
        <v>0</v>
      </c>
      <c r="N209" s="141">
        <f t="shared" ref="N209:Q209" si="99">N210*N$57</f>
        <v>0</v>
      </c>
      <c r="O209" s="141">
        <f t="shared" si="99"/>
        <v>0</v>
      </c>
      <c r="P209" s="141">
        <f t="shared" si="99"/>
        <v>0</v>
      </c>
      <c r="Q209" s="141">
        <f t="shared" si="99"/>
        <v>0</v>
      </c>
      <c r="R209" s="124"/>
      <c r="S209" s="124"/>
      <c r="T209" s="124"/>
      <c r="U209" s="124"/>
      <c r="V209" s="124"/>
      <c r="W209" s="125"/>
      <c r="X209" s="126"/>
      <c r="Y209" s="126"/>
      <c r="Z209" s="124"/>
      <c r="AA209" s="124"/>
      <c r="AB209" s="124"/>
      <c r="AC209" s="124"/>
      <c r="AD209" s="124"/>
      <c r="AE209" s="127"/>
    </row>
    <row r="210" spans="1:31" outlineLevel="1" x14ac:dyDescent="0.3">
      <c r="A210" s="129" t="s">
        <v>137</v>
      </c>
      <c r="B210" s="130" t="str">
        <f>IFERROR(B209/B$57,"")</f>
        <v/>
      </c>
      <c r="C210" s="130" t="str">
        <f t="shared" ref="C210:L210" si="100">IFERROR(C209/C$57,"")</f>
        <v/>
      </c>
      <c r="D210" s="130" t="str">
        <f t="shared" si="100"/>
        <v/>
      </c>
      <c r="E210" s="130" t="str">
        <f t="shared" si="100"/>
        <v/>
      </c>
      <c r="F210" s="130" t="str">
        <f t="shared" si="100"/>
        <v/>
      </c>
      <c r="G210" s="130" t="str">
        <f t="shared" si="100"/>
        <v/>
      </c>
      <c r="H210" s="130" t="str">
        <f t="shared" si="100"/>
        <v/>
      </c>
      <c r="I210" s="130" t="str">
        <f t="shared" si="100"/>
        <v/>
      </c>
      <c r="J210" s="130" t="str">
        <f t="shared" si="100"/>
        <v/>
      </c>
      <c r="K210" s="130" t="str">
        <f t="shared" si="100"/>
        <v/>
      </c>
      <c r="L210" s="130" t="str">
        <f t="shared" si="100"/>
        <v/>
      </c>
      <c r="M210" s="188">
        <v>0</v>
      </c>
      <c r="N210" s="188">
        <v>0</v>
      </c>
      <c r="O210" s="188">
        <v>0</v>
      </c>
      <c r="P210" s="188">
        <v>0</v>
      </c>
      <c r="Q210" s="188">
        <v>0</v>
      </c>
      <c r="R210" s="124"/>
      <c r="S210" s="124"/>
      <c r="T210" s="124"/>
      <c r="U210" s="124"/>
      <c r="V210" s="124"/>
      <c r="W210" s="125"/>
      <c r="X210" s="126"/>
      <c r="Y210" s="126"/>
      <c r="Z210" s="124"/>
      <c r="AA210" s="124"/>
      <c r="AB210" s="124"/>
      <c r="AC210" s="124"/>
      <c r="AD210" s="124"/>
      <c r="AE210" s="127"/>
    </row>
    <row r="211" spans="1:31" outlineLevel="1" x14ac:dyDescent="0.3">
      <c r="A211" s="78" t="s">
        <v>161</v>
      </c>
      <c r="B211" s="140" t="str">
        <f>CHOOSE(IF($B$1=2,2,1),'GAAP-IFRS'!E52,IF('Broker Actual'!E52="-",'GAAP-IFRS'!E52,'Broker Actual'!E52))</f>
        <v/>
      </c>
      <c r="C211" s="140" t="str">
        <f>CHOOSE(IF($B$1=2,2,1),'GAAP-IFRS'!F52,IF('Broker Actual'!F52="-",'GAAP-IFRS'!F52,'Broker Actual'!F52))</f>
        <v/>
      </c>
      <c r="D211" s="140" t="str">
        <f>CHOOSE(IF($B$1=2,2,1),'GAAP-IFRS'!G52,IF('Broker Actual'!G52="-",'GAAP-IFRS'!G52,'Broker Actual'!G52))</f>
        <v/>
      </c>
      <c r="E211" s="140" t="str">
        <f>CHOOSE(IF($B$1=2,2,1),'GAAP-IFRS'!H52,IF('Broker Actual'!H52="-",'GAAP-IFRS'!H52,'Broker Actual'!H52))</f>
        <v/>
      </c>
      <c r="F211" s="140" t="str">
        <f>CHOOSE(IF($B$1=2,2,1),'GAAP-IFRS'!I52,IF('Broker Actual'!I52="-",'GAAP-IFRS'!I52,'Broker Actual'!I52))</f>
        <v/>
      </c>
      <c r="G211" s="140" t="str">
        <f>CHOOSE(IF($B$1=2,2,1),'GAAP-IFRS'!J52,IF('Broker Actual'!J52="-",'GAAP-IFRS'!J52,'Broker Actual'!J52))</f>
        <v/>
      </c>
      <c r="H211" s="140" t="str">
        <f>CHOOSE(IF($B$1=2,2,1),'GAAP-IFRS'!K52,IF('Broker Actual'!K52="-",'GAAP-IFRS'!K52,'Broker Actual'!K52))</f>
        <v/>
      </c>
      <c r="I211" s="140" t="str">
        <f>CHOOSE(IF($B$1=2,2,1),'GAAP-IFRS'!L52,IF('Broker Actual'!L52="-",'GAAP-IFRS'!L52,'Broker Actual'!L52))</f>
        <v/>
      </c>
      <c r="J211" s="140" t="str">
        <f>CHOOSE(IF($B$1=2,2,1),'GAAP-IFRS'!M52,IF('Broker Actual'!M52="-",'GAAP-IFRS'!M52,'Broker Actual'!M52))</f>
        <v/>
      </c>
      <c r="K211" s="140" t="str">
        <f>CHOOSE(IF($B$1=2,2,1),'GAAP-IFRS'!N52,IF('Broker Actual'!N52="-",'GAAP-IFRS'!N52,'Broker Actual'!N52))</f>
        <v/>
      </c>
      <c r="L211" s="140" t="str">
        <f>CHOOSE(IF($B$1=2,2,1),'GAAP-IFRS'!O52,IF('Broker Actual'!O52="-",'GAAP-IFRS'!O52,'Broker Actual'!O52))</f>
        <v/>
      </c>
      <c r="M211" s="141">
        <f>M212*M$57</f>
        <v>0</v>
      </c>
      <c r="N211" s="141">
        <f t="shared" ref="N211:Q211" si="101">N212*N$57</f>
        <v>0</v>
      </c>
      <c r="O211" s="141">
        <f t="shared" si="101"/>
        <v>0</v>
      </c>
      <c r="P211" s="141">
        <f t="shared" si="101"/>
        <v>0</v>
      </c>
      <c r="Q211" s="141">
        <f t="shared" si="101"/>
        <v>0</v>
      </c>
      <c r="R211" s="124"/>
      <c r="S211" s="124"/>
      <c r="T211" s="124"/>
      <c r="U211" s="124"/>
      <c r="V211" s="124"/>
      <c r="W211" s="125"/>
      <c r="X211" s="126"/>
      <c r="Y211" s="126"/>
      <c r="Z211" s="124"/>
      <c r="AA211" s="124"/>
      <c r="AB211" s="124"/>
      <c r="AC211" s="124"/>
      <c r="AD211" s="124"/>
      <c r="AE211" s="127"/>
    </row>
    <row r="212" spans="1:31" outlineLevel="1" x14ac:dyDescent="0.3">
      <c r="A212" s="129" t="s">
        <v>137</v>
      </c>
      <c r="B212" s="130" t="str">
        <f>IFERROR(B211/B$57,"")</f>
        <v/>
      </c>
      <c r="C212" s="130" t="str">
        <f t="shared" ref="C212:L218" si="102">IFERROR(C211/C$57,"")</f>
        <v/>
      </c>
      <c r="D212" s="130" t="str">
        <f t="shared" si="102"/>
        <v/>
      </c>
      <c r="E212" s="130" t="str">
        <f t="shared" si="102"/>
        <v/>
      </c>
      <c r="F212" s="130" t="str">
        <f t="shared" si="102"/>
        <v/>
      </c>
      <c r="G212" s="130" t="str">
        <f t="shared" si="102"/>
        <v/>
      </c>
      <c r="H212" s="130" t="str">
        <f t="shared" si="102"/>
        <v/>
      </c>
      <c r="I212" s="130" t="str">
        <f t="shared" si="102"/>
        <v/>
      </c>
      <c r="J212" s="130" t="str">
        <f t="shared" si="102"/>
        <v/>
      </c>
      <c r="K212" s="130" t="str">
        <f t="shared" si="102"/>
        <v/>
      </c>
      <c r="L212" s="130" t="str">
        <f t="shared" si="102"/>
        <v/>
      </c>
      <c r="M212" s="188">
        <v>0</v>
      </c>
      <c r="N212" s="188">
        <v>0</v>
      </c>
      <c r="O212" s="188">
        <v>0</v>
      </c>
      <c r="P212" s="188">
        <v>0</v>
      </c>
      <c r="Q212" s="188">
        <v>0</v>
      </c>
      <c r="R212" s="124"/>
      <c r="S212" s="124"/>
      <c r="T212" s="124"/>
      <c r="U212" s="124"/>
      <c r="V212" s="124"/>
      <c r="W212" s="125"/>
      <c r="X212" s="126"/>
      <c r="Y212" s="126"/>
      <c r="Z212" s="124"/>
      <c r="AA212" s="124"/>
      <c r="AB212" s="124"/>
      <c r="AC212" s="124"/>
      <c r="AD212" s="124"/>
      <c r="AE212" s="127"/>
    </row>
    <row r="213" spans="1:31" outlineLevel="1" x14ac:dyDescent="0.3">
      <c r="A213" s="78" t="s">
        <v>162</v>
      </c>
      <c r="B213" s="140" t="str">
        <f>CHOOSE(IF($B$1=2,2,1),'GAAP-IFRS'!E53,IF('Broker Actual'!E53="-",'GAAP-IFRS'!E53,'Broker Actual'!E53))</f>
        <v/>
      </c>
      <c r="C213" s="140" t="str">
        <f>CHOOSE(IF($B$1=2,2,1),'GAAP-IFRS'!F53,IF('Broker Actual'!F53="-",'GAAP-IFRS'!F53,'Broker Actual'!F53))</f>
        <v/>
      </c>
      <c r="D213" s="140" t="str">
        <f>CHOOSE(IF($B$1=2,2,1),'GAAP-IFRS'!G53,IF('Broker Actual'!G53="-",'GAAP-IFRS'!G53,'Broker Actual'!G53))</f>
        <v/>
      </c>
      <c r="E213" s="140" t="str">
        <f>CHOOSE(IF($B$1=2,2,1),'GAAP-IFRS'!H53,IF('Broker Actual'!H53="-",'GAAP-IFRS'!H53,'Broker Actual'!H53))</f>
        <v/>
      </c>
      <c r="F213" s="140" t="str">
        <f>CHOOSE(IF($B$1=2,2,1),'GAAP-IFRS'!I53,IF('Broker Actual'!I53="-",'GAAP-IFRS'!I53,'Broker Actual'!I53))</f>
        <v/>
      </c>
      <c r="G213" s="140" t="str">
        <f>CHOOSE(IF($B$1=2,2,1),'GAAP-IFRS'!J53,IF('Broker Actual'!J53="-",'GAAP-IFRS'!J53,'Broker Actual'!J53))</f>
        <v/>
      </c>
      <c r="H213" s="140" t="str">
        <f>CHOOSE(IF($B$1=2,2,1),'GAAP-IFRS'!K53,IF('Broker Actual'!K53="-",'GAAP-IFRS'!K53,'Broker Actual'!K53))</f>
        <v/>
      </c>
      <c r="I213" s="140" t="str">
        <f>CHOOSE(IF($B$1=2,2,1),'GAAP-IFRS'!L53,IF('Broker Actual'!L53="-",'GAAP-IFRS'!L53,'Broker Actual'!L53))</f>
        <v/>
      </c>
      <c r="J213" s="140" t="str">
        <f>CHOOSE(IF($B$1=2,2,1),'GAAP-IFRS'!M53,IF('Broker Actual'!M53="-",'GAAP-IFRS'!M53,'Broker Actual'!M53))</f>
        <v/>
      </c>
      <c r="K213" s="140" t="str">
        <f>CHOOSE(IF($B$1=2,2,1),'GAAP-IFRS'!N53,IF('Broker Actual'!N53="-",'GAAP-IFRS'!N53,'Broker Actual'!N53))</f>
        <v/>
      </c>
      <c r="L213" s="140" t="str">
        <f>CHOOSE(IF($B$1=2,2,1),'GAAP-IFRS'!O53,IF('Broker Actual'!O53="-",'GAAP-IFRS'!O53,'Broker Actual'!O53))</f>
        <v/>
      </c>
      <c r="M213" s="141">
        <f>M214*M$57</f>
        <v>0</v>
      </c>
      <c r="N213" s="141">
        <f t="shared" ref="N213:Q213" si="103">N214*N$57</f>
        <v>0</v>
      </c>
      <c r="O213" s="141">
        <f t="shared" si="103"/>
        <v>0</v>
      </c>
      <c r="P213" s="141">
        <f t="shared" si="103"/>
        <v>0</v>
      </c>
      <c r="Q213" s="141">
        <f t="shared" si="103"/>
        <v>0</v>
      </c>
      <c r="R213" s="124"/>
      <c r="S213" s="124"/>
      <c r="T213" s="124"/>
      <c r="U213" s="124"/>
      <c r="V213" s="124"/>
      <c r="W213" s="125"/>
      <c r="X213" s="126"/>
      <c r="Y213" s="126"/>
      <c r="Z213" s="124"/>
      <c r="AA213" s="124"/>
      <c r="AB213" s="124"/>
      <c r="AC213" s="124"/>
      <c r="AD213" s="124"/>
      <c r="AE213" s="127"/>
    </row>
    <row r="214" spans="1:31" outlineLevel="1" x14ac:dyDescent="0.3">
      <c r="A214" s="129" t="s">
        <v>137</v>
      </c>
      <c r="B214" s="130" t="str">
        <f>IFERROR(B213/B$57,"")</f>
        <v/>
      </c>
      <c r="C214" s="130" t="str">
        <f t="shared" si="102"/>
        <v/>
      </c>
      <c r="D214" s="130" t="str">
        <f t="shared" si="102"/>
        <v/>
      </c>
      <c r="E214" s="130" t="str">
        <f t="shared" si="102"/>
        <v/>
      </c>
      <c r="F214" s="130" t="str">
        <f t="shared" si="102"/>
        <v/>
      </c>
      <c r="G214" s="130" t="str">
        <f t="shared" si="102"/>
        <v/>
      </c>
      <c r="H214" s="130" t="str">
        <f t="shared" si="102"/>
        <v/>
      </c>
      <c r="I214" s="130" t="str">
        <f t="shared" si="102"/>
        <v/>
      </c>
      <c r="J214" s="130" t="str">
        <f t="shared" si="102"/>
        <v/>
      </c>
      <c r="K214" s="130" t="str">
        <f t="shared" si="102"/>
        <v/>
      </c>
      <c r="L214" s="130" t="str">
        <f t="shared" si="102"/>
        <v/>
      </c>
      <c r="M214" s="188">
        <v>0</v>
      </c>
      <c r="N214" s="188">
        <v>0</v>
      </c>
      <c r="O214" s="188">
        <v>0</v>
      </c>
      <c r="P214" s="188">
        <v>0</v>
      </c>
      <c r="Q214" s="188">
        <v>0</v>
      </c>
      <c r="R214" s="124"/>
      <c r="S214" s="124"/>
      <c r="T214" s="124"/>
      <c r="U214" s="124"/>
      <c r="V214" s="124"/>
      <c r="W214" s="125"/>
      <c r="X214" s="126"/>
      <c r="Y214" s="126"/>
      <c r="Z214" s="124"/>
      <c r="AA214" s="124"/>
      <c r="AB214" s="124"/>
      <c r="AC214" s="124"/>
      <c r="AD214" s="124"/>
      <c r="AE214" s="127"/>
    </row>
    <row r="215" spans="1:31" outlineLevel="1" x14ac:dyDescent="0.3">
      <c r="A215" s="78" t="s">
        <v>163</v>
      </c>
      <c r="B215" s="140" t="str">
        <f>CHOOSE(IF($B$1=2,2,1),'GAAP-IFRS'!E54,IF('Broker Actual'!E54="-",'GAAP-IFRS'!E54,'Broker Actual'!E54))</f>
        <v/>
      </c>
      <c r="C215" s="140" t="str">
        <f>CHOOSE(IF($B$1=2,2,1),'GAAP-IFRS'!F54,IF('Broker Actual'!F54="-",'GAAP-IFRS'!F54,'Broker Actual'!F54))</f>
        <v/>
      </c>
      <c r="D215" s="140" t="str">
        <f>CHOOSE(IF($B$1=2,2,1),'GAAP-IFRS'!G54,IF('Broker Actual'!G54="-",'GAAP-IFRS'!G54,'Broker Actual'!G54))</f>
        <v/>
      </c>
      <c r="E215" s="140" t="str">
        <f>CHOOSE(IF($B$1=2,2,1),'GAAP-IFRS'!H54,IF('Broker Actual'!H54="-",'GAAP-IFRS'!H54,'Broker Actual'!H54))</f>
        <v/>
      </c>
      <c r="F215" s="140" t="str">
        <f>CHOOSE(IF($B$1=2,2,1),'GAAP-IFRS'!I54,IF('Broker Actual'!I54="-",'GAAP-IFRS'!I54,'Broker Actual'!I54))</f>
        <v/>
      </c>
      <c r="G215" s="140" t="str">
        <f>CHOOSE(IF($B$1=2,2,1),'GAAP-IFRS'!J54,IF('Broker Actual'!J54="-",'GAAP-IFRS'!J54,'Broker Actual'!J54))</f>
        <v/>
      </c>
      <c r="H215" s="140" t="str">
        <f>CHOOSE(IF($B$1=2,2,1),'GAAP-IFRS'!K54,IF('Broker Actual'!K54="-",'GAAP-IFRS'!K54,'Broker Actual'!K54))</f>
        <v/>
      </c>
      <c r="I215" s="140" t="str">
        <f>CHOOSE(IF($B$1=2,2,1),'GAAP-IFRS'!L54,IF('Broker Actual'!L54="-",'GAAP-IFRS'!L54,'Broker Actual'!L54))</f>
        <v/>
      </c>
      <c r="J215" s="140" t="str">
        <f>CHOOSE(IF($B$1=2,2,1),'GAAP-IFRS'!M54,IF('Broker Actual'!M54="-",'GAAP-IFRS'!M54,'Broker Actual'!M54))</f>
        <v/>
      </c>
      <c r="K215" s="140" t="str">
        <f>CHOOSE(IF($B$1=2,2,1),'GAAP-IFRS'!N54,IF('Broker Actual'!N54="-",'GAAP-IFRS'!N54,'Broker Actual'!N54))</f>
        <v/>
      </c>
      <c r="L215" s="140" t="str">
        <f>CHOOSE(IF($B$1=2,2,1),'GAAP-IFRS'!O54,IF('Broker Actual'!O54="-",'GAAP-IFRS'!O54,'Broker Actual'!O54))</f>
        <v/>
      </c>
      <c r="M215" s="141">
        <f>M216*M$57</f>
        <v>0</v>
      </c>
      <c r="N215" s="141">
        <f t="shared" ref="N215:Q215" si="104">N216*N$57</f>
        <v>0</v>
      </c>
      <c r="O215" s="141">
        <f t="shared" si="104"/>
        <v>0</v>
      </c>
      <c r="P215" s="141">
        <f t="shared" si="104"/>
        <v>0</v>
      </c>
      <c r="Q215" s="141">
        <f t="shared" si="104"/>
        <v>0</v>
      </c>
      <c r="R215" s="124"/>
      <c r="S215" s="124"/>
      <c r="T215" s="124"/>
      <c r="U215" s="124"/>
      <c r="V215" s="124"/>
      <c r="W215" s="125"/>
      <c r="X215" s="126"/>
      <c r="Y215" s="126"/>
      <c r="Z215" s="124"/>
      <c r="AA215" s="124"/>
      <c r="AB215" s="124"/>
      <c r="AC215" s="124"/>
      <c r="AD215" s="124"/>
      <c r="AE215" s="127"/>
    </row>
    <row r="216" spans="1:31" outlineLevel="1" x14ac:dyDescent="0.3">
      <c r="A216" s="129" t="s">
        <v>137</v>
      </c>
      <c r="B216" s="130" t="str">
        <f>IFERROR(B215/B$57,"")</f>
        <v/>
      </c>
      <c r="C216" s="130" t="str">
        <f t="shared" si="102"/>
        <v/>
      </c>
      <c r="D216" s="130" t="str">
        <f t="shared" si="102"/>
        <v/>
      </c>
      <c r="E216" s="130" t="str">
        <f t="shared" si="102"/>
        <v/>
      </c>
      <c r="F216" s="130" t="str">
        <f t="shared" si="102"/>
        <v/>
      </c>
      <c r="G216" s="130" t="str">
        <f t="shared" si="102"/>
        <v/>
      </c>
      <c r="H216" s="130" t="str">
        <f t="shared" si="102"/>
        <v/>
      </c>
      <c r="I216" s="130" t="str">
        <f t="shared" si="102"/>
        <v/>
      </c>
      <c r="J216" s="130" t="str">
        <f t="shared" si="102"/>
        <v/>
      </c>
      <c r="K216" s="130" t="str">
        <f t="shared" si="102"/>
        <v/>
      </c>
      <c r="L216" s="130" t="str">
        <f t="shared" si="102"/>
        <v/>
      </c>
      <c r="M216" s="188">
        <v>0</v>
      </c>
      <c r="N216" s="188">
        <v>0</v>
      </c>
      <c r="O216" s="188">
        <v>0</v>
      </c>
      <c r="P216" s="188">
        <v>0</v>
      </c>
      <c r="Q216" s="188">
        <v>0</v>
      </c>
      <c r="R216" s="124"/>
      <c r="S216" s="124"/>
      <c r="T216" s="124"/>
      <c r="U216" s="124"/>
      <c r="V216" s="124"/>
      <c r="W216" s="125"/>
      <c r="X216" s="126"/>
      <c r="Y216" s="126"/>
      <c r="Z216" s="124"/>
      <c r="AA216" s="124"/>
      <c r="AB216" s="124"/>
      <c r="AC216" s="124"/>
      <c r="AD216" s="124"/>
      <c r="AE216" s="127"/>
    </row>
    <row r="217" spans="1:31" outlineLevel="1" x14ac:dyDescent="0.3">
      <c r="A217" s="78" t="s">
        <v>164</v>
      </c>
      <c r="B217" s="140">
        <f>CHOOSE(IF($B$1=2,2,1),'GAAP-IFRS'!E55,IF('Broker Actual'!E55="-",'GAAP-IFRS'!E55,'Broker Actual'!E55))</f>
        <v>76.031999999999996</v>
      </c>
      <c r="C217" s="140">
        <f>CHOOSE(IF($B$1=2,2,1),'GAAP-IFRS'!F55,IF('Broker Actual'!F55="-",'GAAP-IFRS'!F55,'Broker Actual'!F55))</f>
        <v>-18.466000000000001</v>
      </c>
      <c r="D217" s="140">
        <f>CHOOSE(IF($B$1=2,2,1),'GAAP-IFRS'!G55,IF('Broker Actual'!G55="-",'GAAP-IFRS'!G55,'Broker Actual'!G55))</f>
        <v>21.529</v>
      </c>
      <c r="E217" s="140">
        <f>CHOOSE(IF($B$1=2,2,1),'GAAP-IFRS'!H55,IF('Broker Actual'!H55="-",'GAAP-IFRS'!H55,'Broker Actual'!H55))</f>
        <v>-39.213999999999999</v>
      </c>
      <c r="F217" s="140">
        <f>CHOOSE(IF($B$1=2,2,1),'GAAP-IFRS'!I55,IF('Broker Actual'!I55="-",'GAAP-IFRS'!I55,'Broker Actual'!I55))</f>
        <v>55.042999999999999</v>
      </c>
      <c r="G217" s="140">
        <f>CHOOSE(IF($B$1=2,2,1),'GAAP-IFRS'!J55,IF('Broker Actual'!J55="-",'GAAP-IFRS'!J55,'Broker Actual'!J55))</f>
        <v>16.053999999999998</v>
      </c>
      <c r="H217" s="140">
        <f>CHOOSE(IF($B$1=2,2,1),'GAAP-IFRS'!K55,IF('Broker Actual'!K55="-",'GAAP-IFRS'!K55,'Broker Actual'!K55))</f>
        <v>-7.6449999999999996</v>
      </c>
      <c r="I217" s="140">
        <f>CHOOSE(IF($B$1=2,2,1),'GAAP-IFRS'!L55,IF('Broker Actual'!L55="-",'GAAP-IFRS'!L55,'Broker Actual'!L55))</f>
        <v>14.125</v>
      </c>
      <c r="J217" s="140">
        <f>CHOOSE(IF($B$1=2,2,1),'GAAP-IFRS'!M55,IF('Broker Actual'!M55="-",'GAAP-IFRS'!M55,'Broker Actual'!M55))</f>
        <v>60.04</v>
      </c>
      <c r="K217" s="140">
        <f>CHOOSE(IF($B$1=2,2,1),'GAAP-IFRS'!N55,IF('Broker Actual'!N55="-",'GAAP-IFRS'!N55,'Broker Actual'!N55))</f>
        <v>76.244</v>
      </c>
      <c r="L217" s="140">
        <f>CHOOSE(IF($B$1=2,2,1),'GAAP-IFRS'!O55,IF('Broker Actual'!O55="-",'GAAP-IFRS'!O55,'Broker Actual'!O55))</f>
        <v>49.13</v>
      </c>
      <c r="M217" s="141">
        <f>M218*M$57</f>
        <v>55.400618524209108</v>
      </c>
      <c r="N217" s="141">
        <f t="shared" ref="N217:Q217" si="105">N218*N$57</f>
        <v>60.143382565297159</v>
      </c>
      <c r="O217" s="141">
        <f t="shared" si="105"/>
        <v>65.619544799177191</v>
      </c>
      <c r="P217" s="141">
        <f t="shared" si="105"/>
        <v>70.941823648152166</v>
      </c>
      <c r="Q217" s="141">
        <f t="shared" si="105"/>
        <v>77.857062485436359</v>
      </c>
      <c r="R217" s="124"/>
      <c r="S217" s="124"/>
      <c r="T217" s="124"/>
      <c r="U217" s="124"/>
      <c r="V217" s="124"/>
      <c r="W217" s="125"/>
      <c r="X217" s="126"/>
      <c r="Y217" s="126"/>
      <c r="Z217" s="124"/>
      <c r="AA217" s="124"/>
      <c r="AB217" s="124"/>
      <c r="AC217" s="124"/>
      <c r="AD217" s="124"/>
      <c r="AE217" s="127"/>
    </row>
    <row r="218" spans="1:31" outlineLevel="1" x14ac:dyDescent="0.3">
      <c r="A218" s="129" t="s">
        <v>137</v>
      </c>
      <c r="B218" s="130">
        <f>IFERROR(B217/B$57,"")</f>
        <v>0.32546969911004375</v>
      </c>
      <c r="C218" s="130">
        <f t="shared" si="102"/>
        <v>-7.659443854526149E-2</v>
      </c>
      <c r="D218" s="130">
        <f t="shared" si="102"/>
        <v>8.0903242292602998E-2</v>
      </c>
      <c r="E218" s="130">
        <f t="shared" si="102"/>
        <v>-0.13713490376007162</v>
      </c>
      <c r="F218" s="130">
        <f t="shared" si="102"/>
        <v>0.20814457393948099</v>
      </c>
      <c r="G218" s="130">
        <f t="shared" si="102"/>
        <v>6.5685785128024671E-2</v>
      </c>
      <c r="H218" s="130">
        <f t="shared" si="102"/>
        <v>-3.3053456237137471E-2</v>
      </c>
      <c r="I218" s="130">
        <f t="shared" si="102"/>
        <v>5.8253668434553811E-2</v>
      </c>
      <c r="J218" s="130">
        <f t="shared" si="102"/>
        <v>0.19340478100226455</v>
      </c>
      <c r="K218" s="130">
        <f t="shared" si="102"/>
        <v>0.18691148891313139</v>
      </c>
      <c r="L218" s="130">
        <f t="shared" si="102"/>
        <v>9.8345954364114238E-2</v>
      </c>
      <c r="M218" s="188">
        <f>AVERAGE(H218:L218)</f>
        <v>0.10077248729538531</v>
      </c>
      <c r="N218" s="188">
        <f t="shared" ref="N218:Q218" si="106">M218</f>
        <v>0.10077248729538531</v>
      </c>
      <c r="O218" s="188">
        <f t="shared" si="106"/>
        <v>0.10077248729538531</v>
      </c>
      <c r="P218" s="188">
        <f t="shared" si="106"/>
        <v>0.10077248729538531</v>
      </c>
      <c r="Q218" s="188">
        <f t="shared" si="106"/>
        <v>0.10077248729538531</v>
      </c>
      <c r="R218" s="124"/>
      <c r="S218" s="124"/>
      <c r="T218" s="124"/>
      <c r="U218" s="124"/>
      <c r="V218" s="124"/>
      <c r="W218" s="125"/>
      <c r="X218" s="126"/>
      <c r="Y218" s="126"/>
      <c r="Z218" s="124"/>
      <c r="AA218" s="124"/>
      <c r="AB218" s="124"/>
      <c r="AC218" s="124"/>
      <c r="AD218" s="124"/>
      <c r="AE218" s="127"/>
    </row>
    <row r="219" spans="1:31" s="118" customFormat="1" outlineLevel="1" x14ac:dyDescent="0.3">
      <c r="A219" s="118" t="s">
        <v>165</v>
      </c>
      <c r="B219" s="155">
        <f>CHOOSE(IF($B$1=2,2,1),'GAAP-IFRS'!E56,IF('Broker Actual'!E56="-",'GAAP-IFRS'!E56,'Broker Actual'!E56))</f>
        <v>106.26600000000001</v>
      </c>
      <c r="C219" s="155">
        <f>CHOOSE(IF($B$1=2,2,1),'GAAP-IFRS'!F56,IF('Broker Actual'!F56="-",'GAAP-IFRS'!F56,'Broker Actual'!F56))</f>
        <v>55.472000000000001</v>
      </c>
      <c r="D219" s="155">
        <f>CHOOSE(IF($B$1=2,2,1),'GAAP-IFRS'!G56,IF('Broker Actual'!G56="-",'GAAP-IFRS'!G56,'Broker Actual'!G56))</f>
        <v>89.414000000000001</v>
      </c>
      <c r="E219" s="155">
        <f>CHOOSE(IF($B$1=2,2,1),'GAAP-IFRS'!H56,IF('Broker Actual'!H56="-",'GAAP-IFRS'!H56,'Broker Actual'!H56))</f>
        <v>46.029000000000003</v>
      </c>
      <c r="F219" s="155">
        <f>CHOOSE(IF($B$1=2,2,1),'GAAP-IFRS'!I56,IF('Broker Actual'!I56="-",'GAAP-IFRS'!I56,'Broker Actual'!I56))</f>
        <v>88.721999999999994</v>
      </c>
      <c r="G219" s="155">
        <f>CHOOSE(IF($B$1=2,2,1),'GAAP-IFRS'!J56,IF('Broker Actual'!J56="-",'GAAP-IFRS'!J56,'Broker Actual'!J56))</f>
        <v>29.673999999999999</v>
      </c>
      <c r="H219" s="155">
        <f>CHOOSE(IF($B$1=2,2,1),'GAAP-IFRS'!K56,IF('Broker Actual'!K56="-",'GAAP-IFRS'!K56,'Broker Actual'!K56))</f>
        <v>30.414999999999999</v>
      </c>
      <c r="I219" s="155">
        <f>CHOOSE(IF($B$1=2,2,1),'GAAP-IFRS'!L56,IF('Broker Actual'!L56="-",'GAAP-IFRS'!L56,'Broker Actual'!L56))</f>
        <v>56.473999999999997</v>
      </c>
      <c r="J219" s="155">
        <f>CHOOSE(IF($B$1=2,2,1),'GAAP-IFRS'!M56,IF('Broker Actual'!M56="-",'GAAP-IFRS'!M56,'Broker Actual'!M56))</f>
        <v>79.703000000000003</v>
      </c>
      <c r="K219" s="155">
        <f>CHOOSE(IF($B$1=2,2,1),'GAAP-IFRS'!N56,IF('Broker Actual'!N56="-",'GAAP-IFRS'!N56,'Broker Actual'!N56))</f>
        <v>102.089</v>
      </c>
      <c r="L219" s="155">
        <f>CHOOSE(IF($B$1=2,2,1),'GAAP-IFRS'!O56,IF('Broker Actual'!O56="-",'GAAP-IFRS'!O56,'Broker Actual'!O56))</f>
        <v>5.7750000000000101</v>
      </c>
      <c r="M219" s="156">
        <f>SUM(M208,M209,M211,M213,M215,M217)</f>
        <v>85.387521255826769</v>
      </c>
      <c r="N219" s="156">
        <f t="shared" ref="N219:Q219" si="107">SUM(N208,N209,N211,N213,N215,N217)</f>
        <v>76.114786097751477</v>
      </c>
      <c r="O219" s="156">
        <f t="shared" si="107"/>
        <v>82.234614026793835</v>
      </c>
      <c r="P219" s="156">
        <f t="shared" si="107"/>
        <v>124.22360952168196</v>
      </c>
      <c r="Q219" s="156">
        <f t="shared" si="107"/>
        <v>136.70699556804431</v>
      </c>
      <c r="R219" s="157"/>
      <c r="S219" s="157"/>
      <c r="T219" s="157"/>
      <c r="U219" s="157"/>
      <c r="V219" s="157"/>
      <c r="W219" s="158"/>
      <c r="X219" s="159" t="s">
        <v>91</v>
      </c>
      <c r="Y219" s="159" t="s">
        <v>166</v>
      </c>
      <c r="Z219" s="157" t="str" cm="1">
        <f t="array" ref="Z219">_xll.FDSC("--",$A$1,""&amp;$X219&amp;"("&amp;$Y219&amp;","&amp;D$2&amp;",ANNUAL_ROLL,+1,0,,,'CURRENCY="&amp;$E$1&amp;"')")</f>
        <v>--</v>
      </c>
      <c r="AA219" s="157" t="str" cm="1">
        <f t="array" ref="AA219">_xll.FDSC("--",$A$1,""&amp;$X219&amp;"("&amp;$Y219&amp;","&amp;D$2&amp;",ANNUAL_ROLL,+2,0,,,'CURRENCY="&amp;$E$1&amp;"')")</f>
        <v>--</v>
      </c>
      <c r="AB219" s="157" t="str" cm="1">
        <f t="array" ref="AB219">_xll.FDSC("--",$A$1,""&amp;$X219&amp;"("&amp;$Y219&amp;","&amp;D$2&amp;",ANNUAL_ROLL,+3,0,,,'CURRENCY="&amp;$E$1&amp;"')")</f>
        <v>--</v>
      </c>
      <c r="AC219" s="157"/>
      <c r="AD219" s="157" cm="1">
        <f t="array" ref="AD219">_xll.FDSC("--",$A$1,"FF_OPER_CF(LTM_R,0,,,,"&amp;$E$1&amp;")@FF_OPER_CF(LTM_SEMI_R,0,,,,"&amp;$E$1&amp;")")</f>
        <v>-9.5960000000000001</v>
      </c>
      <c r="AE219" s="160"/>
    </row>
    <row r="220" spans="1:31" s="118" customFormat="1" outlineLevel="1" x14ac:dyDescent="0.3">
      <c r="B220" s="155"/>
      <c r="C220" s="155"/>
      <c r="D220" s="155"/>
      <c r="E220" s="155"/>
      <c r="F220" s="155"/>
      <c r="G220" s="155"/>
      <c r="H220" s="155"/>
      <c r="I220" s="155"/>
      <c r="J220" s="155"/>
      <c r="K220" s="155"/>
      <c r="L220" s="155"/>
      <c r="M220" s="157"/>
      <c r="N220" s="157"/>
      <c r="O220" s="157"/>
      <c r="P220" s="157"/>
      <c r="Q220" s="157"/>
      <c r="R220" s="157"/>
      <c r="S220" s="157"/>
      <c r="T220" s="157"/>
      <c r="U220" s="157"/>
      <c r="V220" s="157"/>
      <c r="W220" s="158"/>
      <c r="X220" s="159"/>
      <c r="Y220" s="159"/>
      <c r="Z220" s="157"/>
      <c r="AA220" s="157"/>
      <c r="AB220" s="157"/>
      <c r="AC220" s="157"/>
      <c r="AD220" s="157"/>
      <c r="AE220" s="160"/>
    </row>
    <row r="221" spans="1:31" outlineLevel="1" x14ac:dyDescent="0.3">
      <c r="A221" s="42" t="s">
        <v>167</v>
      </c>
      <c r="B221" s="140"/>
      <c r="C221" s="140"/>
      <c r="D221" s="140"/>
      <c r="E221" s="140"/>
      <c r="F221" s="140"/>
      <c r="G221" s="140"/>
      <c r="H221" s="140"/>
      <c r="I221" s="140"/>
      <c r="J221" s="140"/>
      <c r="K221" s="140"/>
      <c r="L221" s="140"/>
      <c r="M221" s="124"/>
      <c r="N221" s="124"/>
      <c r="O221" s="124"/>
      <c r="P221" s="124"/>
      <c r="Q221" s="124"/>
      <c r="R221" s="124"/>
      <c r="S221" s="124"/>
      <c r="T221" s="124"/>
      <c r="U221" s="124"/>
      <c r="V221" s="124"/>
      <c r="W221" s="190"/>
      <c r="X221" s="126"/>
      <c r="Y221" s="126"/>
      <c r="Z221" s="124"/>
      <c r="AA221" s="124"/>
      <c r="AB221" s="124"/>
      <c r="AC221" s="124"/>
      <c r="AD221" s="124"/>
      <c r="AE221" s="127"/>
    </row>
    <row r="222" spans="1:31" outlineLevel="1" x14ac:dyDescent="0.3">
      <c r="A222" s="182" t="s">
        <v>168</v>
      </c>
      <c r="B222" s="140">
        <f>'GAAP-IFRS'!E59</f>
        <v>-1.196</v>
      </c>
      <c r="C222" s="140">
        <f>'GAAP-IFRS'!F59</f>
        <v>-3.4329999999999998</v>
      </c>
      <c r="D222" s="140">
        <f>'GAAP-IFRS'!G59</f>
        <v>-0.45300000000000001</v>
      </c>
      <c r="E222" s="140">
        <f>'GAAP-IFRS'!H59</f>
        <v>-0.84</v>
      </c>
      <c r="F222" s="140">
        <f>'GAAP-IFRS'!I59</f>
        <v>-0.86499999999999999</v>
      </c>
      <c r="G222" s="140">
        <f>'GAAP-IFRS'!J59</f>
        <v>-2.9769999999999999</v>
      </c>
      <c r="H222" s="140">
        <f>'GAAP-IFRS'!K59</f>
        <v>-2.5960000000000001</v>
      </c>
      <c r="I222" s="140">
        <f>'GAAP-IFRS'!L59</f>
        <v>-2.887</v>
      </c>
      <c r="J222" s="140">
        <f>'GAAP-IFRS'!M59</f>
        <v>-6.4370000000000003</v>
      </c>
      <c r="K222" s="140">
        <f>'GAAP-IFRS'!N59</f>
        <v>-3.3180000000000001</v>
      </c>
      <c r="L222" s="140">
        <f>'GAAP-IFRS'!O59</f>
        <v>-10.141</v>
      </c>
      <c r="M222" s="141">
        <f>M223*M$57</f>
        <v>-7.9494559958377158</v>
      </c>
      <c r="N222" s="141">
        <f t="shared" ref="N222:Q222" si="108">N223*N$57</f>
        <v>-8.6299970267432755</v>
      </c>
      <c r="O222" s="141">
        <f t="shared" si="108"/>
        <v>-9.4157736455598098</v>
      </c>
      <c r="P222" s="141">
        <f t="shared" si="108"/>
        <v>-10.179469478468533</v>
      </c>
      <c r="Q222" s="141">
        <f t="shared" si="108"/>
        <v>-11.171739750932671</v>
      </c>
      <c r="R222" s="124"/>
      <c r="S222" s="124"/>
      <c r="T222" s="124"/>
      <c r="U222" s="124"/>
      <c r="V222" s="124"/>
      <c r="W222" s="125"/>
      <c r="X222" s="126" t="s">
        <v>91</v>
      </c>
      <c r="Y222" s="126" t="s">
        <v>169</v>
      </c>
      <c r="Z222" s="124" t="str" cm="1">
        <f t="array" ref="Z222">_xll.FDSC("--",$A$1,""&amp;$X222&amp;"("&amp;$Y222&amp;","&amp;D$2&amp;",ANNUAL_ROLL,+1,0,,,'CURRENCY="&amp;$E$1&amp;"')")</f>
        <v>--</v>
      </c>
      <c r="AA222" s="124" t="str" cm="1">
        <f t="array" ref="AA222">_xll.FDSC("--",$A$1,""&amp;$X222&amp;"("&amp;$Y222&amp;","&amp;D$2&amp;",ANNUAL_ROLL,+2,0,,,'CURRENCY="&amp;$E$1&amp;"')")</f>
        <v>--</v>
      </c>
      <c r="AB222" s="124" t="str" cm="1">
        <f t="array" ref="AB222">_xll.FDSC("--",$A$1,""&amp;$X222&amp;"("&amp;$Y222&amp;","&amp;D$2&amp;",ANNUAL_ROLL,+3,0,,,'CURRENCY="&amp;$E$1&amp;"')")</f>
        <v>--</v>
      </c>
      <c r="AC222" s="124"/>
      <c r="AD222" s="124" cm="1">
        <f t="array" ref="AD222">_xll.FDSC("--",$A$1,"FF_CAPEX_FIX(LTM_R,0,,,,"&amp;$E$1&amp;")@FF_CAPEX_FIX(LTM_SEMI_R,0,,,,"&amp;$E$1&amp;")")</f>
        <v>4.8739999999999997</v>
      </c>
      <c r="AE222" s="127"/>
    </row>
    <row r="223" spans="1:31" outlineLevel="1" x14ac:dyDescent="0.3">
      <c r="A223" s="129" t="s">
        <v>137</v>
      </c>
      <c r="B223" s="130">
        <f>IFERROR(B222/B$57,"")</f>
        <v>-5.1197095977432178E-3</v>
      </c>
      <c r="C223" s="130">
        <f t="shared" ref="C223:L223" si="109">IFERROR(C222/C$57,"")</f>
        <v>-1.4239613750995486E-2</v>
      </c>
      <c r="D223" s="130">
        <f t="shared" si="109"/>
        <v>-1.7023163527590303E-3</v>
      </c>
      <c r="E223" s="130">
        <f t="shared" si="109"/>
        <v>-2.9375559534467323E-3</v>
      </c>
      <c r="F223" s="130">
        <f t="shared" si="109"/>
        <v>-3.2709891622486249E-3</v>
      </c>
      <c r="G223" s="130">
        <f t="shared" si="109"/>
        <v>-1.2180552032274167E-2</v>
      </c>
      <c r="H223" s="130">
        <f t="shared" si="109"/>
        <v>-1.1223907441675458E-2</v>
      </c>
      <c r="I223" s="130">
        <f t="shared" si="109"/>
        <v>-1.1906431204995176E-2</v>
      </c>
      <c r="J223" s="130">
        <f t="shared" si="109"/>
        <v>-2.0735286064483292E-2</v>
      </c>
      <c r="K223" s="130">
        <f t="shared" si="109"/>
        <v>-8.1340475344128058E-3</v>
      </c>
      <c r="L223" s="130">
        <f t="shared" si="109"/>
        <v>-2.02997419744857E-2</v>
      </c>
      <c r="M223" s="188">
        <f>AVERAGE(H223:L223)</f>
        <v>-1.4459882844010485E-2</v>
      </c>
      <c r="N223" s="188">
        <f t="shared" ref="N223:Q223" si="110">M223</f>
        <v>-1.4459882844010485E-2</v>
      </c>
      <c r="O223" s="188">
        <f t="shared" si="110"/>
        <v>-1.4459882844010485E-2</v>
      </c>
      <c r="P223" s="188">
        <f t="shared" si="110"/>
        <v>-1.4459882844010485E-2</v>
      </c>
      <c r="Q223" s="188">
        <f t="shared" si="110"/>
        <v>-1.4459882844010485E-2</v>
      </c>
      <c r="R223" s="124"/>
      <c r="S223" s="124"/>
      <c r="T223" s="124"/>
      <c r="U223" s="124"/>
      <c r="V223" s="124"/>
      <c r="W223" s="125"/>
      <c r="X223" s="126"/>
      <c r="Y223" s="126"/>
      <c r="Z223" s="124"/>
      <c r="AA223" s="124"/>
      <c r="AB223" s="124"/>
      <c r="AC223" s="124"/>
      <c r="AD223" s="124"/>
      <c r="AE223" s="127"/>
    </row>
    <row r="224" spans="1:31" outlineLevel="1" x14ac:dyDescent="0.3">
      <c r="A224" s="45" t="s">
        <v>170</v>
      </c>
      <c r="B224" s="140">
        <f>CHOOSE(IF($B$1=2,2,1),'GAAP-IFRS'!E60,IF('Broker Actual'!E60="-",'GAAP-IFRS'!E60,'Broker Actual'!E60))</f>
        <v>-8.157</v>
      </c>
      <c r="C224" s="140">
        <f>CHOOSE(IF($B$1=2,2,1),'GAAP-IFRS'!F60,IF('Broker Actual'!F60="-",'GAAP-IFRS'!F60,'Broker Actual'!F60))</f>
        <v>0</v>
      </c>
      <c r="D224" s="140">
        <f>CHOOSE(IF($B$1=2,2,1),'GAAP-IFRS'!G60,IF('Broker Actual'!G60="-",'GAAP-IFRS'!G60,'Broker Actual'!G60))</f>
        <v>0</v>
      </c>
      <c r="E224" s="140">
        <f>CHOOSE(IF($B$1=2,2,1),'GAAP-IFRS'!H60,IF('Broker Actual'!H60="-",'GAAP-IFRS'!H60,'Broker Actual'!H60))</f>
        <v>0</v>
      </c>
      <c r="F224" s="140">
        <f>CHOOSE(IF($B$1=2,2,1),'GAAP-IFRS'!I60,IF('Broker Actual'!I60="-",'GAAP-IFRS'!I60,'Broker Actual'!I60))</f>
        <v>-13.715</v>
      </c>
      <c r="G224" s="140">
        <f>CHOOSE(IF($B$1=2,2,1),'GAAP-IFRS'!J60,IF('Broker Actual'!J60="-",'GAAP-IFRS'!J60,'Broker Actual'!J60))</f>
        <v>0</v>
      </c>
      <c r="H224" s="140">
        <f>CHOOSE(IF($B$1=2,2,1),'GAAP-IFRS'!K60,IF('Broker Actual'!K60="-",'GAAP-IFRS'!K60,'Broker Actual'!K60))</f>
        <v>-0.53900000000000003</v>
      </c>
      <c r="I224" s="140">
        <f>CHOOSE(IF($B$1=2,2,1),'GAAP-IFRS'!L60,IF('Broker Actual'!L60="-",'GAAP-IFRS'!L60,'Broker Actual'!L60))</f>
        <v>0</v>
      </c>
      <c r="J224" s="140">
        <f>CHOOSE(IF($B$1=2,2,1),'GAAP-IFRS'!M60,IF('Broker Actual'!M60="-",'GAAP-IFRS'!M60,'Broker Actual'!M60))</f>
        <v>0</v>
      </c>
      <c r="K224" s="140">
        <f>CHOOSE(IF($B$1=2,2,1),'GAAP-IFRS'!N60,IF('Broker Actual'!N60="-",'GAAP-IFRS'!N60,'Broker Actual'!N60))</f>
        <v>-6.3170000000000002</v>
      </c>
      <c r="L224" s="140">
        <f>CHOOSE(IF($B$1=2,2,1),'GAAP-IFRS'!O60,IF('Broker Actual'!O60="-",'GAAP-IFRS'!O60,'Broker Actual'!O60))</f>
        <v>-0.40600000000000003</v>
      </c>
      <c r="M224" s="213">
        <v>0</v>
      </c>
      <c r="N224" s="213">
        <v>0</v>
      </c>
      <c r="O224" s="213">
        <v>0</v>
      </c>
      <c r="P224" s="213">
        <v>0</v>
      </c>
      <c r="Q224" s="213">
        <v>0</v>
      </c>
      <c r="R224" s="124"/>
      <c r="S224" s="124"/>
      <c r="T224" s="124"/>
      <c r="U224" s="124"/>
      <c r="V224" s="124"/>
      <c r="W224" s="125"/>
      <c r="X224" s="126"/>
      <c r="Y224" s="126"/>
      <c r="Z224" s="124"/>
      <c r="AA224" s="124"/>
      <c r="AB224" s="124"/>
      <c r="AC224" s="124"/>
      <c r="AD224" s="124"/>
      <c r="AE224" s="127"/>
    </row>
    <row r="225" spans="1:31" outlineLevel="1" x14ac:dyDescent="0.3">
      <c r="A225" s="45" t="s">
        <v>171</v>
      </c>
      <c r="B225" s="140">
        <f>CHOOSE(IF($B$1=2,2,1),'GAAP-IFRS'!E61,IF('Broker Actual'!E61="-",'GAAP-IFRS'!E61,'Broker Actual'!E61))</f>
        <v>0</v>
      </c>
      <c r="C225" s="140">
        <f>CHOOSE(IF($B$1=2,2,1),'GAAP-IFRS'!F61,IF('Broker Actual'!F61="-",'GAAP-IFRS'!F61,'Broker Actual'!F61))</f>
        <v>1E-3</v>
      </c>
      <c r="D225" s="140">
        <f>CHOOSE(IF($B$1=2,2,1),'GAAP-IFRS'!G61,IF('Broker Actual'!G61="-",'GAAP-IFRS'!G61,'Broker Actual'!G61))</f>
        <v>0</v>
      </c>
      <c r="E225" s="140">
        <f>CHOOSE(IF($B$1=2,2,1),'GAAP-IFRS'!H61,IF('Broker Actual'!H61="-",'GAAP-IFRS'!H61,'Broker Actual'!H61))</f>
        <v>0</v>
      </c>
      <c r="F225" s="140">
        <f>CHOOSE(IF($B$1=2,2,1),'GAAP-IFRS'!I61,IF('Broker Actual'!I61="-",'GAAP-IFRS'!I61,'Broker Actual'!I61))</f>
        <v>0</v>
      </c>
      <c r="G225" s="140">
        <f>CHOOSE(IF($B$1=2,2,1),'GAAP-IFRS'!J61,IF('Broker Actual'!J61="-",'GAAP-IFRS'!J61,'Broker Actual'!J61))</f>
        <v>0</v>
      </c>
      <c r="H225" s="140">
        <f>CHOOSE(IF($B$1=2,2,1),'GAAP-IFRS'!K61,IF('Broker Actual'!K61="-",'GAAP-IFRS'!K61,'Broker Actual'!K61))</f>
        <v>0</v>
      </c>
      <c r="I225" s="140">
        <f>CHOOSE(IF($B$1=2,2,1),'GAAP-IFRS'!L61,IF('Broker Actual'!L61="-",'GAAP-IFRS'!L61,'Broker Actual'!L61))</f>
        <v>0</v>
      </c>
      <c r="J225" s="140">
        <f>CHOOSE(IF($B$1=2,2,1),'GAAP-IFRS'!M61,IF('Broker Actual'!M61="-",'GAAP-IFRS'!M61,'Broker Actual'!M61))</f>
        <v>0</v>
      </c>
      <c r="K225" s="140">
        <f>CHOOSE(IF($B$1=2,2,1),'GAAP-IFRS'!N61,IF('Broker Actual'!N61="-",'GAAP-IFRS'!N61,'Broker Actual'!N61))</f>
        <v>100</v>
      </c>
      <c r="L225" s="140">
        <f>CHOOSE(IF($B$1=2,2,1),'GAAP-IFRS'!O61,IF('Broker Actual'!O61="-",'GAAP-IFRS'!O61,'Broker Actual'!O61))</f>
        <v>0</v>
      </c>
      <c r="M225" s="148">
        <v>0</v>
      </c>
      <c r="N225" s="148">
        <v>0</v>
      </c>
      <c r="O225" s="148">
        <v>0</v>
      </c>
      <c r="P225" s="148">
        <v>0</v>
      </c>
      <c r="Q225" s="148">
        <v>0</v>
      </c>
      <c r="R225" s="124"/>
      <c r="S225" s="124"/>
      <c r="T225" s="124"/>
      <c r="U225" s="124"/>
      <c r="V225" s="124"/>
      <c r="W225" s="125"/>
      <c r="X225" s="126"/>
      <c r="Y225" s="126"/>
      <c r="Z225" s="124"/>
      <c r="AA225" s="124"/>
      <c r="AB225" s="124"/>
      <c r="AC225" s="124"/>
      <c r="AD225" s="124"/>
      <c r="AE225" s="127"/>
    </row>
    <row r="226" spans="1:31" outlineLevel="1" x14ac:dyDescent="0.3">
      <c r="A226" s="46" t="s">
        <v>172</v>
      </c>
      <c r="B226" s="140"/>
      <c r="C226" s="140"/>
      <c r="D226" s="140"/>
      <c r="E226" s="140"/>
      <c r="F226" s="140"/>
      <c r="G226" s="140"/>
      <c r="H226" s="140"/>
      <c r="I226" s="140"/>
      <c r="J226" s="140"/>
      <c r="K226" s="140"/>
      <c r="L226" s="140"/>
      <c r="M226" s="124"/>
      <c r="N226" s="124"/>
      <c r="O226" s="124"/>
      <c r="P226" s="124"/>
      <c r="Q226" s="124"/>
      <c r="R226" s="124"/>
      <c r="S226" s="124"/>
      <c r="T226" s="124"/>
      <c r="U226" s="124"/>
      <c r="V226" s="124"/>
      <c r="W226" s="125"/>
      <c r="X226" s="126"/>
      <c r="Y226" s="126"/>
      <c r="Z226" s="124"/>
      <c r="AA226" s="124"/>
      <c r="AB226" s="124"/>
      <c r="AC226" s="124"/>
      <c r="AD226" s="124"/>
      <c r="AE226" s="127"/>
    </row>
    <row r="227" spans="1:31" outlineLevel="1" x14ac:dyDescent="0.3">
      <c r="A227" s="195" t="s">
        <v>173</v>
      </c>
      <c r="B227" s="140">
        <f>CHOOSE(IF($B$1=2,2,1),'GAAP-IFRS'!E63,IF('Broker Actual'!E63="-",'GAAP-IFRS'!E63,'Broker Actual'!E63))</f>
        <v>-18.138000000000002</v>
      </c>
      <c r="C227" s="140">
        <f>CHOOSE(IF($B$1=2,2,1),'GAAP-IFRS'!F63,IF('Broker Actual'!F63="-",'GAAP-IFRS'!F63,'Broker Actual'!F63))</f>
        <v>-94.78</v>
      </c>
      <c r="D227" s="140">
        <f>CHOOSE(IF($B$1=2,2,1),'GAAP-IFRS'!G63,IF('Broker Actual'!G63="-",'GAAP-IFRS'!G63,'Broker Actual'!G63))</f>
        <v>-137.97800000000001</v>
      </c>
      <c r="E227" s="140">
        <f>CHOOSE(IF($B$1=2,2,1),'GAAP-IFRS'!H63,IF('Broker Actual'!H63="-",'GAAP-IFRS'!H63,'Broker Actual'!H63))</f>
        <v>-168.28899999999999</v>
      </c>
      <c r="F227" s="140">
        <f>CHOOSE(IF($B$1=2,2,1),'GAAP-IFRS'!I63,IF('Broker Actual'!I63="-",'GAAP-IFRS'!I63,'Broker Actual'!I63))</f>
        <v>-114.985</v>
      </c>
      <c r="G227" s="140">
        <f>CHOOSE(IF($B$1=2,2,1),'GAAP-IFRS'!J63,IF('Broker Actual'!J63="-",'GAAP-IFRS'!J63,'Broker Actual'!J63))</f>
        <v>-181.3</v>
      </c>
      <c r="H227" s="140">
        <f>CHOOSE(IF($B$1=2,2,1),'GAAP-IFRS'!K63,IF('Broker Actual'!K63="-",'GAAP-IFRS'!K63,'Broker Actual'!K63))</f>
        <v>-381.61599999999999</v>
      </c>
      <c r="I227" s="140">
        <f>CHOOSE(IF($B$1=2,2,1),'GAAP-IFRS'!L63,IF('Broker Actual'!L63="-",'GAAP-IFRS'!L63,'Broker Actual'!L63))</f>
        <v>-121.13200000000001</v>
      </c>
      <c r="J227" s="140">
        <f>CHOOSE(IF($B$1=2,2,1),'GAAP-IFRS'!M63,IF('Broker Actual'!M63="-",'GAAP-IFRS'!M63,'Broker Actual'!M63))</f>
        <v>-110.63500000000001</v>
      </c>
      <c r="K227" s="140">
        <f>CHOOSE(IF($B$1=2,2,1),'GAAP-IFRS'!N63,IF('Broker Actual'!N63="-",'GAAP-IFRS'!N63,'Broker Actual'!N63))</f>
        <v>-127.53400000000001</v>
      </c>
      <c r="L227" s="140">
        <f>CHOOSE(IF($B$1=2,2,1),'GAAP-IFRS'!O63,IF('Broker Actual'!O63="-",'GAAP-IFRS'!O63,'Broker Actual'!O63))</f>
        <v>-640.58000000000004</v>
      </c>
      <c r="M227" s="148">
        <f>AVERAGE(H227:L227)</f>
        <v>-276.29939999999999</v>
      </c>
      <c r="N227" s="148">
        <f t="shared" ref="N227:Q228" si="111">M227</f>
        <v>-276.29939999999999</v>
      </c>
      <c r="O227" s="148">
        <f t="shared" si="111"/>
        <v>-276.29939999999999</v>
      </c>
      <c r="P227" s="148">
        <f t="shared" si="111"/>
        <v>-276.29939999999999</v>
      </c>
      <c r="Q227" s="148">
        <f t="shared" si="111"/>
        <v>-276.29939999999999</v>
      </c>
      <c r="R227" s="124"/>
      <c r="S227" s="124"/>
      <c r="T227" s="124"/>
      <c r="U227" s="124"/>
      <c r="V227" s="124"/>
      <c r="W227" s="125"/>
      <c r="X227" s="126"/>
      <c r="Y227" s="126"/>
      <c r="Z227" s="124"/>
      <c r="AA227" s="124"/>
      <c r="AB227" s="124"/>
      <c r="AC227" s="124"/>
      <c r="AD227" s="124"/>
      <c r="AE227" s="127"/>
    </row>
    <row r="228" spans="1:31" outlineLevel="1" x14ac:dyDescent="0.3">
      <c r="A228" s="195" t="s">
        <v>174</v>
      </c>
      <c r="B228" s="140">
        <f>CHOOSE(IF($B$1=2,2,1),'GAAP-IFRS'!E64,IF('Broker Actual'!E64="-",'GAAP-IFRS'!E64,'Broker Actual'!E64))</f>
        <v>26.28</v>
      </c>
      <c r="C228" s="140">
        <f>CHOOSE(IF($B$1=2,2,1),'GAAP-IFRS'!F64,IF('Broker Actual'!F64="-",'GAAP-IFRS'!F64,'Broker Actual'!F64))</f>
        <v>8.1720000000000006</v>
      </c>
      <c r="D228" s="140">
        <f>CHOOSE(IF($B$1=2,2,1),'GAAP-IFRS'!G64,IF('Broker Actual'!G64="-",'GAAP-IFRS'!G64,'Broker Actual'!G64))</f>
        <v>119.779</v>
      </c>
      <c r="E228" s="140">
        <f>CHOOSE(IF($B$1=2,2,1),'GAAP-IFRS'!H64,IF('Broker Actual'!H64="-",'GAAP-IFRS'!H64,'Broker Actual'!H64))</f>
        <v>88.754999999999995</v>
      </c>
      <c r="F228" s="140">
        <f>CHOOSE(IF($B$1=2,2,1),'GAAP-IFRS'!I64,IF('Broker Actual'!I64="-",'GAAP-IFRS'!I64,'Broker Actual'!I64))</f>
        <v>78.472999999999999</v>
      </c>
      <c r="G228" s="140">
        <f>CHOOSE(IF($B$1=2,2,1),'GAAP-IFRS'!J64,IF('Broker Actual'!J64="-",'GAAP-IFRS'!J64,'Broker Actual'!J64))</f>
        <v>91.938000000000002</v>
      </c>
      <c r="H228" s="140">
        <f>CHOOSE(IF($B$1=2,2,1),'GAAP-IFRS'!K64,IF('Broker Actual'!K64="-",'GAAP-IFRS'!K64,'Broker Actual'!K64))</f>
        <v>365.68099999999998</v>
      </c>
      <c r="I228" s="140">
        <f>CHOOSE(IF($B$1=2,2,1),'GAAP-IFRS'!L64,IF('Broker Actual'!L64="-",'GAAP-IFRS'!L64,'Broker Actual'!L64))</f>
        <v>172.357</v>
      </c>
      <c r="J228" s="140">
        <f>CHOOSE(IF($B$1=2,2,1),'GAAP-IFRS'!M64,IF('Broker Actual'!M64="-",'GAAP-IFRS'!M64,'Broker Actual'!M64))</f>
        <v>214.20099999999999</v>
      </c>
      <c r="K228" s="140">
        <f>CHOOSE(IF($B$1=2,2,1),'GAAP-IFRS'!N64,IF('Broker Actual'!N64="-",'GAAP-IFRS'!N64,'Broker Actual'!N64))</f>
        <v>162.42400000000001</v>
      </c>
      <c r="L228" s="140">
        <f>CHOOSE(IF($B$1=2,2,1),'GAAP-IFRS'!O64,IF('Broker Actual'!O64="-",'GAAP-IFRS'!O64,'Broker Actual'!O64))</f>
        <v>195.97300000000001</v>
      </c>
      <c r="M228" s="148">
        <f>AVERAGE(H228:L228)</f>
        <v>222.12719999999999</v>
      </c>
      <c r="N228" s="148">
        <f t="shared" si="111"/>
        <v>222.12719999999999</v>
      </c>
      <c r="O228" s="148">
        <f t="shared" si="111"/>
        <v>222.12719999999999</v>
      </c>
      <c r="P228" s="148">
        <f t="shared" si="111"/>
        <v>222.12719999999999</v>
      </c>
      <c r="Q228" s="148">
        <f t="shared" si="111"/>
        <v>222.12719999999999</v>
      </c>
      <c r="R228" s="124"/>
      <c r="S228" s="124"/>
      <c r="T228" s="124"/>
      <c r="U228" s="124"/>
      <c r="V228" s="124"/>
      <c r="W228" s="125"/>
      <c r="X228" s="126"/>
      <c r="Y228" s="126"/>
      <c r="Z228" s="124"/>
      <c r="AA228" s="124"/>
      <c r="AB228" s="124"/>
      <c r="AC228" s="124"/>
      <c r="AD228" s="124"/>
      <c r="AE228" s="127"/>
    </row>
    <row r="229" spans="1:31" outlineLevel="1" x14ac:dyDescent="0.3">
      <c r="A229" s="46" t="s">
        <v>163</v>
      </c>
      <c r="B229" s="140"/>
      <c r="C229" s="140"/>
      <c r="D229" s="140"/>
      <c r="E229" s="140"/>
      <c r="F229" s="140"/>
      <c r="G229" s="140"/>
      <c r="H229" s="140"/>
      <c r="I229" s="140"/>
      <c r="J229" s="140"/>
      <c r="K229" s="140"/>
      <c r="L229" s="140"/>
      <c r="M229" s="124"/>
      <c r="N229" s="124"/>
      <c r="O229" s="124"/>
      <c r="P229" s="124"/>
      <c r="Q229" s="124"/>
      <c r="R229" s="124"/>
      <c r="S229" s="124"/>
      <c r="T229" s="124"/>
      <c r="U229" s="124"/>
      <c r="V229" s="124"/>
      <c r="W229" s="125"/>
      <c r="X229" s="126"/>
      <c r="Y229" s="126"/>
      <c r="Z229" s="124"/>
      <c r="AA229" s="124"/>
      <c r="AB229" s="124"/>
      <c r="AC229" s="124"/>
      <c r="AD229" s="124"/>
      <c r="AE229" s="127"/>
    </row>
    <row r="230" spans="1:31" outlineLevel="1" x14ac:dyDescent="0.3">
      <c r="A230" s="195" t="s">
        <v>175</v>
      </c>
      <c r="B230" s="140">
        <f>CHOOSE(IF($B$1=2,2,1),'GAAP-IFRS'!E66,IF('Broker Actual'!E66="-",'GAAP-IFRS'!E66,'Broker Actual'!E66))</f>
        <v>0</v>
      </c>
      <c r="C230" s="140">
        <f>CHOOSE(IF($B$1=2,2,1),'GAAP-IFRS'!F66,IF('Broker Actual'!F66="-",'GAAP-IFRS'!F66,'Broker Actual'!F66))</f>
        <v>0</v>
      </c>
      <c r="D230" s="140">
        <f>CHOOSE(IF($B$1=2,2,1),'GAAP-IFRS'!G66,IF('Broker Actual'!G66="-",'GAAP-IFRS'!G66,'Broker Actual'!G66))</f>
        <v>0</v>
      </c>
      <c r="E230" s="140">
        <f>CHOOSE(IF($B$1=2,2,1),'GAAP-IFRS'!H66,IF('Broker Actual'!H66="-",'GAAP-IFRS'!H66,'Broker Actual'!H66))</f>
        <v>0</v>
      </c>
      <c r="F230" s="140">
        <f>CHOOSE(IF($B$1=2,2,1),'GAAP-IFRS'!I66,IF('Broker Actual'!I66="-",'GAAP-IFRS'!I66,'Broker Actual'!I66))</f>
        <v>0</v>
      </c>
      <c r="G230" s="140">
        <f>CHOOSE(IF($B$1=2,2,1),'GAAP-IFRS'!J66,IF('Broker Actual'!J66="-",'GAAP-IFRS'!J66,'Broker Actual'!J66))</f>
        <v>0</v>
      </c>
      <c r="H230" s="140">
        <f>CHOOSE(IF($B$1=2,2,1),'GAAP-IFRS'!K66,IF('Broker Actual'!K66="-",'GAAP-IFRS'!K66,'Broker Actual'!K66))</f>
        <v>0</v>
      </c>
      <c r="I230" s="140">
        <f>CHOOSE(IF($B$1=2,2,1),'GAAP-IFRS'!L66,IF('Broker Actual'!L66="-",'GAAP-IFRS'!L66,'Broker Actual'!L66))</f>
        <v>0</v>
      </c>
      <c r="J230" s="140">
        <f>CHOOSE(IF($B$1=2,2,1),'GAAP-IFRS'!M66,IF('Broker Actual'!M66="-",'GAAP-IFRS'!M66,'Broker Actual'!M66))</f>
        <v>0</v>
      </c>
      <c r="K230" s="140">
        <f>CHOOSE(IF($B$1=2,2,1),'GAAP-IFRS'!N66,IF('Broker Actual'!N66="-",'GAAP-IFRS'!N66,'Broker Actual'!N66))</f>
        <v>0</v>
      </c>
      <c r="L230" s="140">
        <f>CHOOSE(IF($B$1=2,2,1),'GAAP-IFRS'!O66,IF('Broker Actual'!O66="-",'GAAP-IFRS'!O66,'Broker Actual'!O66))</f>
        <v>0</v>
      </c>
      <c r="M230" s="148">
        <v>0</v>
      </c>
      <c r="N230" s="148">
        <f t="shared" ref="N230:Q231" si="112">M230</f>
        <v>0</v>
      </c>
      <c r="O230" s="148">
        <f t="shared" si="112"/>
        <v>0</v>
      </c>
      <c r="P230" s="148">
        <f t="shared" si="112"/>
        <v>0</v>
      </c>
      <c r="Q230" s="148">
        <f t="shared" si="112"/>
        <v>0</v>
      </c>
      <c r="R230" s="124"/>
      <c r="S230" s="124"/>
      <c r="T230" s="124"/>
      <c r="U230" s="124"/>
      <c r="V230" s="124"/>
      <c r="W230" s="125"/>
      <c r="X230" s="126"/>
      <c r="Y230" s="126"/>
      <c r="Z230" s="124"/>
      <c r="AA230" s="124"/>
      <c r="AB230" s="124"/>
      <c r="AC230" s="124"/>
      <c r="AD230" s="124"/>
      <c r="AE230" s="127"/>
    </row>
    <row r="231" spans="1:31" outlineLevel="1" x14ac:dyDescent="0.3">
      <c r="A231" s="195" t="s">
        <v>176</v>
      </c>
      <c r="B231" s="140">
        <f>CHOOSE(IF($B$1=2,2,1),'GAAP-IFRS'!E67,IF('Broker Actual'!E67="-",'GAAP-IFRS'!E67,'Broker Actual'!E67))</f>
        <v>0</v>
      </c>
      <c r="C231" s="140">
        <f>CHOOSE(IF($B$1=2,2,1),'GAAP-IFRS'!F67,IF('Broker Actual'!F67="-",'GAAP-IFRS'!F67,'Broker Actual'!F67))</f>
        <v>0</v>
      </c>
      <c r="D231" s="140">
        <f>CHOOSE(IF($B$1=2,2,1),'GAAP-IFRS'!G67,IF('Broker Actual'!G67="-",'GAAP-IFRS'!G67,'Broker Actual'!G67))</f>
        <v>0</v>
      </c>
      <c r="E231" s="140">
        <f>CHOOSE(IF($B$1=2,2,1),'GAAP-IFRS'!H67,IF('Broker Actual'!H67="-",'GAAP-IFRS'!H67,'Broker Actual'!H67))</f>
        <v>0</v>
      </c>
      <c r="F231" s="140">
        <f>CHOOSE(IF($B$1=2,2,1),'GAAP-IFRS'!I67,IF('Broker Actual'!I67="-",'GAAP-IFRS'!I67,'Broker Actual'!I67))</f>
        <v>0</v>
      </c>
      <c r="G231" s="140">
        <f>CHOOSE(IF($B$1=2,2,1),'GAAP-IFRS'!J67,IF('Broker Actual'!J67="-",'GAAP-IFRS'!J67,'Broker Actual'!J67))</f>
        <v>0</v>
      </c>
      <c r="H231" s="140">
        <f>CHOOSE(IF($B$1=2,2,1),'GAAP-IFRS'!K67,IF('Broker Actual'!K67="-",'GAAP-IFRS'!K67,'Broker Actual'!K67))</f>
        <v>0</v>
      </c>
      <c r="I231" s="140">
        <f>CHOOSE(IF($B$1=2,2,1),'GAAP-IFRS'!L67,IF('Broker Actual'!L67="-",'GAAP-IFRS'!L67,'Broker Actual'!L67))</f>
        <v>0</v>
      </c>
      <c r="J231" s="140">
        <f>CHOOSE(IF($B$1=2,2,1),'GAAP-IFRS'!M67,IF('Broker Actual'!M67="-",'GAAP-IFRS'!M67,'Broker Actual'!M67))</f>
        <v>44</v>
      </c>
      <c r="K231" s="140">
        <f>CHOOSE(IF($B$1=2,2,1),'GAAP-IFRS'!N67,IF('Broker Actual'!N67="-",'GAAP-IFRS'!N67,'Broker Actual'!N67))</f>
        <v>0</v>
      </c>
      <c r="L231" s="140">
        <f>CHOOSE(IF($B$1=2,2,1),'GAAP-IFRS'!O67,IF('Broker Actual'!O67="-",'GAAP-IFRS'!O67,'Broker Actual'!O67))</f>
        <v>14.5</v>
      </c>
      <c r="M231" s="148">
        <f>AVERAGE(H231:L231)</f>
        <v>11.7</v>
      </c>
      <c r="N231" s="148">
        <f t="shared" si="112"/>
        <v>11.7</v>
      </c>
      <c r="O231" s="148">
        <f t="shared" si="112"/>
        <v>11.7</v>
      </c>
      <c r="P231" s="148">
        <f t="shared" si="112"/>
        <v>11.7</v>
      </c>
      <c r="Q231" s="148">
        <f t="shared" si="112"/>
        <v>11.7</v>
      </c>
      <c r="R231" s="124"/>
      <c r="S231" s="124"/>
      <c r="T231" s="124"/>
      <c r="U231" s="124"/>
      <c r="V231" s="124"/>
      <c r="W231" s="125"/>
      <c r="X231" s="126"/>
      <c r="Y231" s="126"/>
      <c r="Z231" s="124"/>
      <c r="AA231" s="124"/>
      <c r="AB231" s="124"/>
      <c r="AC231" s="124"/>
      <c r="AD231" s="124"/>
      <c r="AE231" s="127"/>
    </row>
    <row r="232" spans="1:31" s="118" customFormat="1" outlineLevel="1" x14ac:dyDescent="0.3">
      <c r="A232" s="42" t="s">
        <v>177</v>
      </c>
      <c r="B232" s="155">
        <f>CHOOSE(IF($B$1=2,2,1),'GAAP-IFRS'!E68,IF('Broker Actual'!E68="-",'GAAP-IFRS'!E68,'Broker Actual'!E68))</f>
        <v>-1.2110000000000001</v>
      </c>
      <c r="C232" s="155">
        <f>CHOOSE(IF($B$1=2,2,1),'GAAP-IFRS'!F68,IF('Broker Actual'!F68="-",'GAAP-IFRS'!F68,'Broker Actual'!F68))</f>
        <v>-90.04</v>
      </c>
      <c r="D232" s="155">
        <f>CHOOSE(IF($B$1=2,2,1),'GAAP-IFRS'!G68,IF('Broker Actual'!G68="-",'GAAP-IFRS'!G68,'Broker Actual'!G68))</f>
        <v>-18.652000000000001</v>
      </c>
      <c r="E232" s="155">
        <f>CHOOSE(IF($B$1=2,2,1),'GAAP-IFRS'!H68,IF('Broker Actual'!H68="-",'GAAP-IFRS'!H68,'Broker Actual'!H68))</f>
        <v>-80.373999999999995</v>
      </c>
      <c r="F232" s="155">
        <f>CHOOSE(IF($B$1=2,2,1),'GAAP-IFRS'!I68,IF('Broker Actual'!I68="-",'GAAP-IFRS'!I68,'Broker Actual'!I68))</f>
        <v>-51.091999999999999</v>
      </c>
      <c r="G232" s="155">
        <f>CHOOSE(IF($B$1=2,2,1),'GAAP-IFRS'!J68,IF('Broker Actual'!J68="-",'GAAP-IFRS'!J68,'Broker Actual'!J68))</f>
        <v>-92.338999999999999</v>
      </c>
      <c r="H232" s="155">
        <f>CHOOSE(IF($B$1=2,2,1),'GAAP-IFRS'!K68,IF('Broker Actual'!K68="-",'GAAP-IFRS'!K68,'Broker Actual'!K68))</f>
        <v>-19.07</v>
      </c>
      <c r="I232" s="155">
        <f>CHOOSE(IF($B$1=2,2,1),'GAAP-IFRS'!L68,IF('Broker Actual'!L68="-",'GAAP-IFRS'!L68,'Broker Actual'!L68))</f>
        <v>48.338000000000001</v>
      </c>
      <c r="J232" s="155">
        <f>CHOOSE(IF($B$1=2,2,1),'GAAP-IFRS'!M68,IF('Broker Actual'!M68="-",'GAAP-IFRS'!M68,'Broker Actual'!M68))</f>
        <v>141.12899999999999</v>
      </c>
      <c r="K232" s="155">
        <f>CHOOSE(IF($B$1=2,2,1),'GAAP-IFRS'!N68,IF('Broker Actual'!N68="-",'GAAP-IFRS'!N68,'Broker Actual'!N68))</f>
        <v>125.255</v>
      </c>
      <c r="L232" s="155">
        <f>CHOOSE(IF($B$1=2,2,1),'GAAP-IFRS'!O68,IF('Broker Actual'!O68="-",'GAAP-IFRS'!O68,'Broker Actual'!O68))</f>
        <v>-440.654</v>
      </c>
      <c r="M232" s="156">
        <f>SUM(M222,M224,M225,M227,M228,M230,M231)</f>
        <v>-50.421655995837696</v>
      </c>
      <c r="N232" s="156">
        <f t="shared" ref="N232:Q232" si="113">SUM(N222,N224,N225,N227,N228,N230,N231)</f>
        <v>-51.102197026743298</v>
      </c>
      <c r="O232" s="156">
        <f t="shared" si="113"/>
        <v>-51.887973645559796</v>
      </c>
      <c r="P232" s="156">
        <f t="shared" si="113"/>
        <v>-52.651669478468548</v>
      </c>
      <c r="Q232" s="156">
        <f t="shared" si="113"/>
        <v>-53.64393975093266</v>
      </c>
      <c r="R232" s="157"/>
      <c r="S232" s="157"/>
      <c r="T232" s="157"/>
      <c r="U232" s="157"/>
      <c r="V232" s="157"/>
      <c r="W232" s="158"/>
      <c r="X232" s="159" t="s">
        <v>91</v>
      </c>
      <c r="Y232" s="159" t="s">
        <v>178</v>
      </c>
      <c r="Z232" s="157" t="str" cm="1">
        <f t="array" ref="Z232">_xll.FDSC("--",$A$1,""&amp;$X232&amp;"("&amp;$Y232&amp;","&amp;D$2&amp;",ANNUAL_ROLL,+1,0,,,'CURRENCY="&amp;$E$1&amp;"')")</f>
        <v>--</v>
      </c>
      <c r="AA232" s="157" t="str" cm="1">
        <f t="array" ref="AA232">_xll.FDSC("--",$A$1,""&amp;$X232&amp;"("&amp;$Y232&amp;","&amp;D$2&amp;",ANNUAL_ROLL,+2,0,,,'CURRENCY="&amp;$E$1&amp;"')")</f>
        <v>--</v>
      </c>
      <c r="AB232" s="157" t="str" cm="1">
        <f t="array" ref="AB232">_xll.FDSC("--",$A$1,""&amp;$X232&amp;"("&amp;$Y232&amp;","&amp;D$2&amp;",ANNUAL_ROLL,+3,0,,,'CURRENCY="&amp;$E$1&amp;"')")</f>
        <v>--</v>
      </c>
      <c r="AC232" s="157"/>
      <c r="AD232" s="157" cm="1">
        <f t="array" ref="AD232">_xll.FDSC("--",$A$1,"FF_INVEST_CF(LTM_R,0,,,,"&amp;$E$1&amp;")@FF_INVEST_CF(LTM_SEMI_R,0,,,,"&amp;$E$1&amp;")")</f>
        <v>-21.123000000000001</v>
      </c>
      <c r="AE232" s="160"/>
    </row>
    <row r="233" spans="1:31" outlineLevel="1" x14ac:dyDescent="0.3">
      <c r="A233" s="129" t="s">
        <v>137</v>
      </c>
      <c r="B233" s="130">
        <f>B232/B57</f>
        <v>-5.1839200023971891E-3</v>
      </c>
      <c r="C233" s="130">
        <f t="shared" ref="C233:Q233" si="114">C232/C$57</f>
        <v>-0.37347358640828249</v>
      </c>
      <c r="D233" s="130">
        <f t="shared" si="114"/>
        <v>-7.0091842409848643E-2</v>
      </c>
      <c r="E233" s="130">
        <f t="shared" si="114"/>
        <v>-0.28107514547896151</v>
      </c>
      <c r="F233" s="130">
        <f t="shared" si="114"/>
        <v>-0.19320390552324479</v>
      </c>
      <c r="G233" s="130">
        <f t="shared" si="114"/>
        <v>-0.37780987373468733</v>
      </c>
      <c r="H233" s="130">
        <f t="shared" si="114"/>
        <v>-8.2449890182107466E-2</v>
      </c>
      <c r="I233" s="130">
        <f t="shared" si="114"/>
        <v>0.19935333272845748</v>
      </c>
      <c r="J233" s="130">
        <f t="shared" si="114"/>
        <v>0.45461397964804451</v>
      </c>
      <c r="K233" s="130">
        <f t="shared" si="114"/>
        <v>0.30706152016964317</v>
      </c>
      <c r="L233" s="130">
        <f t="shared" si="114"/>
        <v>-0.8820789369909301</v>
      </c>
      <c r="M233" s="130">
        <f t="shared" si="114"/>
        <v>-9.1715865699811341E-2</v>
      </c>
      <c r="N233" s="130">
        <f t="shared" si="114"/>
        <v>-8.5623642718345369E-2</v>
      </c>
      <c r="O233" s="130">
        <f t="shared" si="114"/>
        <v>-7.9684797890369211E-2</v>
      </c>
      <c r="P233" s="130">
        <f t="shared" si="114"/>
        <v>-7.479141951460111E-2</v>
      </c>
      <c r="Q233" s="130">
        <f t="shared" si="114"/>
        <v>-6.9432792150827302E-2</v>
      </c>
      <c r="R233" s="124"/>
      <c r="S233" s="124"/>
      <c r="T233" s="124"/>
      <c r="U233" s="124"/>
      <c r="V233" s="124"/>
      <c r="W233" s="125"/>
      <c r="X233" s="126"/>
      <c r="Y233" s="126"/>
      <c r="Z233" s="124"/>
      <c r="AA233" s="124"/>
      <c r="AB233" s="124"/>
      <c r="AC233" s="124"/>
      <c r="AD233" s="124"/>
      <c r="AE233" s="127"/>
    </row>
    <row r="234" spans="1:31" outlineLevel="1" x14ac:dyDescent="0.3">
      <c r="B234" s="140"/>
      <c r="C234" s="140"/>
      <c r="D234" s="140"/>
      <c r="E234" s="140"/>
      <c r="F234" s="140"/>
      <c r="G234" s="140"/>
      <c r="H234" s="140"/>
      <c r="I234" s="140"/>
      <c r="J234" s="140"/>
      <c r="K234" s="140"/>
      <c r="L234" s="140"/>
      <c r="M234" s="124"/>
      <c r="N234" s="124"/>
      <c r="O234" s="124"/>
      <c r="P234" s="124"/>
      <c r="Q234" s="124"/>
      <c r="R234" s="124"/>
      <c r="S234" s="124"/>
      <c r="T234" s="124"/>
      <c r="U234" s="124"/>
      <c r="V234" s="124"/>
      <c r="W234" s="190"/>
      <c r="X234" s="126"/>
      <c r="Y234" s="126"/>
      <c r="Z234" s="124"/>
      <c r="AA234" s="124"/>
      <c r="AB234" s="124"/>
      <c r="AC234" s="124"/>
      <c r="AD234" s="124"/>
      <c r="AE234" s="127"/>
    </row>
    <row r="235" spans="1:31" outlineLevel="1" x14ac:dyDescent="0.3">
      <c r="A235" s="79" t="s">
        <v>179</v>
      </c>
      <c r="B235" s="141">
        <f t="shared" ref="B235:Q235" si="115">B219+B232</f>
        <v>105.05500000000001</v>
      </c>
      <c r="C235" s="141">
        <f t="shared" si="115"/>
        <v>-34.568000000000005</v>
      </c>
      <c r="D235" s="141">
        <f t="shared" si="115"/>
        <v>70.762</v>
      </c>
      <c r="E235" s="141">
        <f t="shared" si="115"/>
        <v>-34.344999999999992</v>
      </c>
      <c r="F235" s="141">
        <f t="shared" si="115"/>
        <v>37.629999999999995</v>
      </c>
      <c r="G235" s="141">
        <f t="shared" si="115"/>
        <v>-62.664999999999999</v>
      </c>
      <c r="H235" s="141">
        <f t="shared" si="115"/>
        <v>11.344999999999999</v>
      </c>
      <c r="I235" s="141">
        <f t="shared" si="115"/>
        <v>104.812</v>
      </c>
      <c r="J235" s="141">
        <f t="shared" si="115"/>
        <v>220.83199999999999</v>
      </c>
      <c r="K235" s="141">
        <f t="shared" si="115"/>
        <v>227.34399999999999</v>
      </c>
      <c r="L235" s="141">
        <f t="shared" si="115"/>
        <v>-434.87899999999996</v>
      </c>
      <c r="M235" s="141">
        <f>M219+M232</f>
        <v>34.965865259989073</v>
      </c>
      <c r="N235" s="141">
        <f t="shared" si="115"/>
        <v>25.012589071008179</v>
      </c>
      <c r="O235" s="141">
        <f t="shared" si="115"/>
        <v>30.346640381234039</v>
      </c>
      <c r="P235" s="141">
        <f t="shared" si="115"/>
        <v>71.571940043213417</v>
      </c>
      <c r="Q235" s="141">
        <f t="shared" si="115"/>
        <v>83.063055817111646</v>
      </c>
      <c r="R235" s="124"/>
      <c r="S235" s="124"/>
      <c r="T235" s="124"/>
      <c r="U235" s="124"/>
      <c r="V235" s="124"/>
      <c r="W235" s="125"/>
      <c r="X235" s="126"/>
      <c r="Y235" s="126"/>
      <c r="Z235" s="124"/>
      <c r="AA235" s="124"/>
      <c r="AB235" s="124"/>
      <c r="AC235" s="124"/>
      <c r="AD235" s="124"/>
      <c r="AE235" s="127"/>
    </row>
    <row r="236" spans="1:31" outlineLevel="1" x14ac:dyDescent="0.3">
      <c r="A236" s="79" t="s">
        <v>180</v>
      </c>
      <c r="B236" s="141">
        <f t="shared" ref="B236:Q236" si="116">B235+B241</f>
        <v>96.494</v>
      </c>
      <c r="C236" s="141">
        <f t="shared" si="116"/>
        <v>-45.470000000000006</v>
      </c>
      <c r="D236" s="141">
        <f t="shared" si="116"/>
        <v>58.406999999999996</v>
      </c>
      <c r="E236" s="141">
        <f t="shared" si="116"/>
        <v>-46.772999999999996</v>
      </c>
      <c r="F236" s="141">
        <f t="shared" si="116"/>
        <v>25.191999999999993</v>
      </c>
      <c r="G236" s="141">
        <f t="shared" si="116"/>
        <v>-76.570999999999998</v>
      </c>
      <c r="H236" s="141">
        <f t="shared" si="116"/>
        <v>2.6999999999999247E-2</v>
      </c>
      <c r="I236" s="141">
        <f t="shared" si="116"/>
        <v>91.8</v>
      </c>
      <c r="J236" s="141">
        <f t="shared" si="116"/>
        <v>208.13800000000001</v>
      </c>
      <c r="K236" s="141">
        <f t="shared" si="116"/>
        <v>213.279</v>
      </c>
      <c r="L236" s="141">
        <f t="shared" si="116"/>
        <v>-450.11199999999997</v>
      </c>
      <c r="M236" s="141">
        <f>M235+M241</f>
        <v>20.872020976128773</v>
      </c>
      <c r="N236" s="141">
        <f t="shared" si="116"/>
        <v>1.0554837723266992</v>
      </c>
      <c r="O236" s="141">
        <f t="shared" si="116"/>
        <v>-1.2219911512375816</v>
      </c>
      <c r="P236" s="141">
        <f t="shared" si="116"/>
        <v>-29.663453116493201</v>
      </c>
      <c r="Q236" s="141">
        <f t="shared" si="116"/>
        <v>-28.751817039843417</v>
      </c>
      <c r="R236" s="124"/>
      <c r="S236" s="124"/>
      <c r="T236" s="124"/>
      <c r="U236" s="124"/>
      <c r="V236" s="124"/>
      <c r="W236" s="125"/>
      <c r="X236" s="126"/>
      <c r="Y236" s="126"/>
      <c r="Z236" s="124"/>
      <c r="AA236" s="124"/>
      <c r="AB236" s="124"/>
      <c r="AC236" s="124"/>
      <c r="AD236" s="124"/>
      <c r="AE236" s="127"/>
    </row>
    <row r="237" spans="1:31" outlineLevel="1" x14ac:dyDescent="0.3">
      <c r="A237" s="79" t="s">
        <v>181</v>
      </c>
      <c r="B237" s="124"/>
      <c r="C237" s="124"/>
      <c r="D237" s="124"/>
      <c r="E237" s="124"/>
      <c r="F237" s="124"/>
      <c r="G237" s="124"/>
      <c r="H237" s="124"/>
      <c r="I237" s="124"/>
      <c r="J237" s="124"/>
      <c r="K237" s="124"/>
      <c r="L237" s="124"/>
      <c r="M237" s="232">
        <v>0.9</v>
      </c>
      <c r="N237" s="232">
        <f>M237</f>
        <v>0.9</v>
      </c>
      <c r="O237" s="232">
        <f t="shared" ref="O237:Q237" si="117">N237</f>
        <v>0.9</v>
      </c>
      <c r="P237" s="232">
        <f t="shared" si="117"/>
        <v>0.9</v>
      </c>
      <c r="Q237" s="232">
        <f t="shared" si="117"/>
        <v>0.9</v>
      </c>
      <c r="R237" s="124"/>
      <c r="S237" s="124"/>
      <c r="T237" s="124"/>
      <c r="U237" s="124"/>
      <c r="V237" s="124"/>
      <c r="W237" s="125"/>
      <c r="X237" s="126"/>
      <c r="Y237" s="126"/>
      <c r="Z237" s="124"/>
      <c r="AA237" s="124"/>
      <c r="AB237" s="124"/>
      <c r="AC237" s="124"/>
      <c r="AD237" s="124"/>
      <c r="AE237" s="127"/>
    </row>
    <row r="238" spans="1:31" outlineLevel="1" x14ac:dyDescent="0.3">
      <c r="A238" s="79" t="s">
        <v>182</v>
      </c>
      <c r="B238" s="124"/>
      <c r="C238" s="124"/>
      <c r="D238" s="124"/>
      <c r="E238" s="124"/>
      <c r="F238" s="124"/>
      <c r="G238" s="124"/>
      <c r="H238" s="124"/>
      <c r="I238" s="124"/>
      <c r="J238" s="124"/>
      <c r="K238" s="124"/>
      <c r="L238" s="124"/>
      <c r="M238" s="191">
        <f>1-M237</f>
        <v>9.9999999999999978E-2</v>
      </c>
      <c r="N238" s="191">
        <f t="shared" ref="N238:Q238" si="118">1-N237</f>
        <v>9.9999999999999978E-2</v>
      </c>
      <c r="O238" s="191">
        <f t="shared" si="118"/>
        <v>9.9999999999999978E-2</v>
      </c>
      <c r="P238" s="191">
        <f t="shared" si="118"/>
        <v>9.9999999999999978E-2</v>
      </c>
      <c r="Q238" s="191">
        <f t="shared" si="118"/>
        <v>9.9999999999999978E-2</v>
      </c>
      <c r="R238" s="124"/>
      <c r="S238" s="124"/>
      <c r="T238" s="124"/>
      <c r="U238" s="124"/>
      <c r="V238" s="124"/>
      <c r="W238" s="125"/>
      <c r="X238" s="126"/>
      <c r="Y238" s="126"/>
      <c r="Z238" s="124"/>
      <c r="AA238" s="124"/>
      <c r="AB238" s="124"/>
      <c r="AC238" s="124"/>
      <c r="AD238" s="124"/>
      <c r="AE238" s="127"/>
    </row>
    <row r="239" spans="1:31" outlineLevel="1" x14ac:dyDescent="0.3">
      <c r="B239" s="124"/>
      <c r="C239" s="124"/>
      <c r="D239" s="124"/>
      <c r="E239" s="124"/>
      <c r="F239" s="124"/>
      <c r="G239" s="124"/>
      <c r="H239" s="124"/>
      <c r="I239" s="124"/>
      <c r="J239" s="124"/>
      <c r="K239" s="124"/>
      <c r="L239" s="124"/>
      <c r="M239" s="124"/>
      <c r="N239" s="124"/>
      <c r="O239" s="124"/>
      <c r="P239" s="124"/>
      <c r="Q239" s="124"/>
      <c r="R239" s="124"/>
      <c r="S239" s="124"/>
      <c r="T239" s="124"/>
      <c r="U239" s="124"/>
      <c r="V239" s="124"/>
      <c r="W239" s="125"/>
      <c r="X239" s="126"/>
      <c r="Y239" s="126"/>
      <c r="Z239" s="124"/>
      <c r="AA239" s="124"/>
      <c r="AB239" s="124"/>
      <c r="AC239" s="124"/>
      <c r="AD239" s="124"/>
      <c r="AE239" s="127"/>
    </row>
    <row r="240" spans="1:31" outlineLevel="1" x14ac:dyDescent="0.3">
      <c r="A240" s="118" t="s">
        <v>183</v>
      </c>
      <c r="B240" s="124"/>
      <c r="C240" s="124"/>
      <c r="D240" s="124"/>
      <c r="E240" s="124"/>
      <c r="F240" s="124"/>
      <c r="G240" s="124"/>
      <c r="H240" s="124"/>
      <c r="I240" s="124"/>
      <c r="J240" s="124"/>
      <c r="K240" s="124"/>
      <c r="L240" s="124"/>
      <c r="M240" s="124"/>
      <c r="N240" s="124"/>
      <c r="O240" s="124"/>
      <c r="P240" s="124"/>
      <c r="Q240" s="124"/>
      <c r="R240" s="124"/>
      <c r="S240" s="124"/>
      <c r="T240" s="124"/>
      <c r="U240" s="124"/>
      <c r="V240" s="124"/>
      <c r="W240" s="190"/>
      <c r="X240" s="126"/>
      <c r="Y240" s="126"/>
      <c r="Z240" s="124"/>
      <c r="AA240" s="124"/>
      <c r="AB240" s="124"/>
      <c r="AC240" s="124"/>
      <c r="AD240" s="124"/>
      <c r="AE240" s="127"/>
    </row>
    <row r="241" spans="1:31" outlineLevel="1" x14ac:dyDescent="0.3">
      <c r="A241" s="79" t="s">
        <v>184</v>
      </c>
      <c r="B241" s="140">
        <f>CHOOSE(IF($B$1=2,2,1),'GAAP-IFRS'!E71,IF('Broker Actual'!E71="-",'GAAP-IFRS'!E71,'Broker Actual'!E71))</f>
        <v>-8.5609999999999999</v>
      </c>
      <c r="C241" s="140">
        <f>CHOOSE(IF($B$1=2,2,1),'GAAP-IFRS'!F71,IF('Broker Actual'!F71="-",'GAAP-IFRS'!F71,'Broker Actual'!F71))</f>
        <v>-10.901999999999999</v>
      </c>
      <c r="D241" s="140">
        <f>CHOOSE(IF($B$1=2,2,1),'GAAP-IFRS'!G71,IF('Broker Actual'!G71="-",'GAAP-IFRS'!G71,'Broker Actual'!G71))</f>
        <v>-12.355</v>
      </c>
      <c r="E241" s="140">
        <f>CHOOSE(IF($B$1=2,2,1),'GAAP-IFRS'!H71,IF('Broker Actual'!H71="-",'GAAP-IFRS'!H71,'Broker Actual'!H71))</f>
        <v>-12.428000000000001</v>
      </c>
      <c r="F241" s="140">
        <f>CHOOSE(IF($B$1=2,2,1),'GAAP-IFRS'!I71,IF('Broker Actual'!I71="-",'GAAP-IFRS'!I71,'Broker Actual'!I71))</f>
        <v>-12.438000000000001</v>
      </c>
      <c r="G241" s="140">
        <f>CHOOSE(IF($B$1=2,2,1),'GAAP-IFRS'!J71,IF('Broker Actual'!J71="-",'GAAP-IFRS'!J71,'Broker Actual'!J71))</f>
        <v>-13.906000000000001</v>
      </c>
      <c r="H241" s="140">
        <f>CHOOSE(IF($B$1=2,2,1),'GAAP-IFRS'!K71,IF('Broker Actual'!K71="-",'GAAP-IFRS'!K71,'Broker Actual'!K71))</f>
        <v>-11.318</v>
      </c>
      <c r="I241" s="140">
        <f>CHOOSE(IF($B$1=2,2,1),'GAAP-IFRS'!L71,IF('Broker Actual'!L71="-",'GAAP-IFRS'!L71,'Broker Actual'!L71))</f>
        <v>-13.012</v>
      </c>
      <c r="J241" s="140">
        <f>CHOOSE(IF($B$1=2,2,1),'GAAP-IFRS'!M71,IF('Broker Actual'!M71="-",'GAAP-IFRS'!M71,'Broker Actual'!M71))</f>
        <v>-12.694000000000001</v>
      </c>
      <c r="K241" s="140">
        <f>CHOOSE(IF($B$1=2,2,1),'GAAP-IFRS'!N71,IF('Broker Actual'!N71="-",'GAAP-IFRS'!N71,'Broker Actual'!N71))</f>
        <v>-14.065</v>
      </c>
      <c r="L241" s="140">
        <f>CHOOSE(IF($B$1=2,2,1),'GAAP-IFRS'!O71,IF('Broker Actual'!O71="-",'GAAP-IFRS'!O71,'Broker Actual'!O71))</f>
        <v>-15.233000000000001</v>
      </c>
      <c r="M241" s="141">
        <f>M242*M128</f>
        <v>-14.0938442838603</v>
      </c>
      <c r="N241" s="141">
        <f>N242*N128</f>
        <v>-23.95710529868148</v>
      </c>
      <c r="O241" s="141">
        <f>O242*O128</f>
        <v>-31.56863153247162</v>
      </c>
      <c r="P241" s="141">
        <f>P242*P128</f>
        <v>-101.23539315970662</v>
      </c>
      <c r="Q241" s="141">
        <f>Q242*Q128</f>
        <v>-111.81487285695506</v>
      </c>
      <c r="R241" s="124"/>
      <c r="S241" s="124"/>
      <c r="T241" s="124"/>
      <c r="U241" s="124"/>
      <c r="V241" s="124"/>
      <c r="W241" s="125"/>
      <c r="X241" s="126"/>
      <c r="Y241" s="126"/>
      <c r="Z241" s="124"/>
      <c r="AA241" s="124"/>
      <c r="AB241" s="124"/>
      <c r="AC241" s="124"/>
      <c r="AD241" s="124" cm="1">
        <f t="array" ref="AD241">_xll.FDSC("--",$A$1,"FF_DIV_COM_CF(LTM_R,0,,,,"&amp;$E$1&amp;")@FF_DIV_COM_CF(LTM_SEMI_R,0,,,,"&amp;$E$1&amp;")")</f>
        <v>13.933999999999999</v>
      </c>
      <c r="AE241" s="127"/>
    </row>
    <row r="242" spans="1:31" outlineLevel="1" x14ac:dyDescent="0.3">
      <c r="A242" s="79" t="s">
        <v>185</v>
      </c>
      <c r="B242" s="130">
        <f t="shared" ref="B242:L242" si="119">B241/B128</f>
        <v>-0.28694486341545167</v>
      </c>
      <c r="C242" s="130">
        <f t="shared" si="119"/>
        <v>-0.16654954321855234</v>
      </c>
      <c r="D242" s="130">
        <f t="shared" si="119"/>
        <v>-0.1971626452189455</v>
      </c>
      <c r="E242" s="130">
        <f t="shared" si="119"/>
        <v>-0.18870044487633045</v>
      </c>
      <c r="F242" s="130">
        <f t="shared" si="119"/>
        <v>-0.42858619620274974</v>
      </c>
      <c r="G242" s="130">
        <f t="shared" si="119"/>
        <v>2.0174089656172929</v>
      </c>
      <c r="H242" s="130">
        <f t="shared" si="119"/>
        <v>-0.63853314527503524</v>
      </c>
      <c r="I242" s="130">
        <f t="shared" si="119"/>
        <v>-0.48961468994581581</v>
      </c>
      <c r="J242" s="130">
        <f t="shared" si="119"/>
        <v>-0.46026105873821616</v>
      </c>
      <c r="K242" s="130">
        <f t="shared" si="119"/>
        <v>-1.9421430544048606</v>
      </c>
      <c r="L242" s="130">
        <f t="shared" si="119"/>
        <v>0.27897734556709336</v>
      </c>
      <c r="M242" s="189">
        <v>-0.47</v>
      </c>
      <c r="N242" s="189">
        <v>-1.5</v>
      </c>
      <c r="O242" s="189">
        <v>-1.9</v>
      </c>
      <c r="P242" s="189">
        <f t="shared" ref="P242:Q242" si="120">O242</f>
        <v>-1.9</v>
      </c>
      <c r="Q242" s="189">
        <f t="shared" si="120"/>
        <v>-1.9</v>
      </c>
      <c r="R242" s="124"/>
      <c r="S242" s="124"/>
      <c r="T242" s="124"/>
      <c r="U242" s="124"/>
      <c r="V242" s="124"/>
      <c r="W242" s="125"/>
      <c r="X242" s="126"/>
      <c r="Y242" s="126"/>
      <c r="Z242" s="124"/>
      <c r="AA242" s="124"/>
      <c r="AB242" s="124"/>
      <c r="AC242" s="124"/>
      <c r="AD242" s="124"/>
      <c r="AE242" s="127"/>
    </row>
    <row r="243" spans="1:31" outlineLevel="1" x14ac:dyDescent="0.3">
      <c r="A243" s="79" t="s">
        <v>186</v>
      </c>
      <c r="B243" s="140">
        <f>CHOOSE(IF($B$1=2,2,1),'GAAP-IFRS'!E72,IF('Broker Actual'!E72="-",'GAAP-IFRS'!E72,'Broker Actual'!E72))</f>
        <v>0</v>
      </c>
      <c r="C243" s="140">
        <f>CHOOSE(IF($B$1=2,2,1),'GAAP-IFRS'!F72,IF('Broker Actual'!F72="-",'GAAP-IFRS'!F72,'Broker Actual'!F72))</f>
        <v>138.47999999999999</v>
      </c>
      <c r="D243" s="140">
        <f>CHOOSE(IF($B$1=2,2,1),'GAAP-IFRS'!G72,IF('Broker Actual'!G72="-",'GAAP-IFRS'!G72,'Broker Actual'!G72))</f>
        <v>0</v>
      </c>
      <c r="E243" s="140">
        <f>CHOOSE(IF($B$1=2,2,1),'GAAP-IFRS'!H72,IF('Broker Actual'!H72="-",'GAAP-IFRS'!H72,'Broker Actual'!H72))</f>
        <v>0</v>
      </c>
      <c r="F243" s="140">
        <f>CHOOSE(IF($B$1=2,2,1),'GAAP-IFRS'!I72,IF('Broker Actual'!I72="-",'GAAP-IFRS'!I72,'Broker Actual'!I72))</f>
        <v>7.2969999999999997</v>
      </c>
      <c r="G243" s="140">
        <f>CHOOSE(IF($B$1=2,2,1),'GAAP-IFRS'!J72,IF('Broker Actual'!J72="-",'GAAP-IFRS'!J72,'Broker Actual'!J72))</f>
        <v>97.66</v>
      </c>
      <c r="H243" s="140">
        <f>CHOOSE(IF($B$1=2,2,1),'GAAP-IFRS'!K72,IF('Broker Actual'!K72="-",'GAAP-IFRS'!K72,'Broker Actual'!K72))</f>
        <v>4.7679999999999998</v>
      </c>
      <c r="I243" s="140">
        <f>CHOOSE(IF($B$1=2,2,1),'GAAP-IFRS'!L72,IF('Broker Actual'!L72="-",'GAAP-IFRS'!L72,'Broker Actual'!L72))</f>
        <v>-82.027000000000001</v>
      </c>
      <c r="J243" s="140">
        <f>CHOOSE(IF($B$1=2,2,1),'GAAP-IFRS'!M72,IF('Broker Actual'!M72="-",'GAAP-IFRS'!M72,'Broker Actual'!M72))</f>
        <v>2.3279999999999998</v>
      </c>
      <c r="K243" s="140">
        <f>CHOOSE(IF($B$1=2,2,1),'GAAP-IFRS'!N72,IF('Broker Actual'!N72="-",'GAAP-IFRS'!N72,'Broker Actual'!N72))</f>
        <v>-9.7200000000000006</v>
      </c>
      <c r="L243" s="140">
        <f>CHOOSE(IF($B$1=2,2,1),'GAAP-IFRS'!O72,IF('Broker Actual'!O72="-",'GAAP-IFRS'!O72,'Broker Actual'!O72))</f>
        <v>150.44999999999999</v>
      </c>
      <c r="M243" s="141">
        <f>-M236*M237</f>
        <v>-18.784818878515896</v>
      </c>
      <c r="N243" s="141">
        <f>-N236*N237</f>
        <v>-0.94993539509402936</v>
      </c>
      <c r="O243" s="141">
        <f>-O236*O237</f>
        <v>1.0997920361138236</v>
      </c>
      <c r="P243" s="141">
        <f>-P236*P237</f>
        <v>26.697107804843881</v>
      </c>
      <c r="Q243" s="141">
        <f>-Q236*Q237</f>
        <v>25.876635335859074</v>
      </c>
      <c r="R243" s="124"/>
      <c r="S243" s="124"/>
      <c r="T243" s="124"/>
      <c r="U243" s="124"/>
      <c r="V243" s="124"/>
      <c r="W243" s="125"/>
      <c r="X243" s="126"/>
      <c r="Y243" s="126"/>
      <c r="Z243" s="124"/>
      <c r="AA243" s="124"/>
      <c r="AB243" s="124"/>
      <c r="AC243" s="124"/>
      <c r="AD243" s="124"/>
      <c r="AE243" s="127"/>
    </row>
    <row r="244" spans="1:31" outlineLevel="1" x14ac:dyDescent="0.3">
      <c r="A244" s="79" t="s">
        <v>187</v>
      </c>
      <c r="B244" s="140">
        <f>CHOOSE(IF($B$1=2,2,1),'GAAP-IFRS'!E73,IF('Broker Actual'!E73="-",'GAAP-IFRS'!E73,'Broker Actual'!E73))</f>
        <v>32.234000000000002</v>
      </c>
      <c r="C244" s="140">
        <f>CHOOSE(IF($B$1=2,2,1),'GAAP-IFRS'!F73,IF('Broker Actual'!F73="-",'GAAP-IFRS'!F73,'Broker Actual'!F73))</f>
        <v>-30.885999999999999</v>
      </c>
      <c r="D244" s="140">
        <f>CHOOSE(IF($B$1=2,2,1),'GAAP-IFRS'!G73,IF('Broker Actual'!G73="-",'GAAP-IFRS'!G73,'Broker Actual'!G73))</f>
        <v>-38.905999999999999</v>
      </c>
      <c r="E244" s="140">
        <f>CHOOSE(IF($B$1=2,2,1),'GAAP-IFRS'!H73,IF('Broker Actual'!H73="-",'GAAP-IFRS'!H73,'Broker Actual'!H73))</f>
        <v>-2.1389999999999998</v>
      </c>
      <c r="F244" s="140">
        <f>CHOOSE(IF($B$1=2,2,1),'GAAP-IFRS'!I73,IF('Broker Actual'!I73="-",'GAAP-IFRS'!I73,'Broker Actual'!I73))</f>
        <v>-20.34</v>
      </c>
      <c r="G244" s="140">
        <f>CHOOSE(IF($B$1=2,2,1),'GAAP-IFRS'!J73,IF('Broker Actual'!J73="-",'GAAP-IFRS'!J73,'Broker Actual'!J73))</f>
        <v>-45.796999999999997</v>
      </c>
      <c r="H244" s="140">
        <f>CHOOSE(IF($B$1=2,2,1),'GAAP-IFRS'!K73,IF('Broker Actual'!K73="-",'GAAP-IFRS'!K73,'Broker Actual'!K73))</f>
        <v>-21.166</v>
      </c>
      <c r="I244" s="140">
        <f>CHOOSE(IF($B$1=2,2,1),'GAAP-IFRS'!L73,IF('Broker Actual'!L73="-",'GAAP-IFRS'!L73,'Broker Actual'!L73))</f>
        <v>-19.991</v>
      </c>
      <c r="J244" s="140">
        <f>CHOOSE(IF($B$1=2,2,1),'GAAP-IFRS'!M73,IF('Broker Actual'!M73="-",'GAAP-IFRS'!M73,'Broker Actual'!M73))</f>
        <v>-6.6449999999999996</v>
      </c>
      <c r="K244" s="140">
        <f>CHOOSE(IF($B$1=2,2,1),'GAAP-IFRS'!N73,IF('Broker Actual'!N73="-",'GAAP-IFRS'!N73,'Broker Actual'!N73))</f>
        <v>-1.3140000000000001</v>
      </c>
      <c r="L244" s="140">
        <f>CHOOSE(IF($B$1=2,2,1),'GAAP-IFRS'!O73,IF('Broker Actual'!O73="-",'GAAP-IFRS'!O73,'Broker Actual'!O73))</f>
        <v>-88.311999999999998</v>
      </c>
      <c r="M244" s="141">
        <f>-M236*M238</f>
        <v>-2.0872020976128769</v>
      </c>
      <c r="N244" s="141">
        <f>-N236*N238</f>
        <v>-0.1055483772326699</v>
      </c>
      <c r="O244" s="141">
        <f>-O236*O238</f>
        <v>0.12219911512375814</v>
      </c>
      <c r="P244" s="141">
        <f>-P236*P238</f>
        <v>2.9663453116493197</v>
      </c>
      <c r="Q244" s="141">
        <f>-Q236*Q238</f>
        <v>2.875181703984341</v>
      </c>
      <c r="R244" s="124"/>
      <c r="S244" s="124"/>
      <c r="T244" s="124"/>
      <c r="U244" s="124"/>
      <c r="V244" s="124"/>
      <c r="W244" s="125"/>
      <c r="X244" s="126"/>
      <c r="Y244" s="126"/>
      <c r="Z244" s="124"/>
      <c r="AA244" s="124"/>
      <c r="AB244" s="124"/>
      <c r="AC244" s="124"/>
      <c r="AD244" s="124"/>
      <c r="AE244" s="127"/>
    </row>
    <row r="245" spans="1:31" outlineLevel="1" x14ac:dyDescent="0.3">
      <c r="A245" s="79" t="s">
        <v>163</v>
      </c>
      <c r="B245" s="140">
        <f>CHOOSE(IF($B$1=2,2,1),'GAAP-IFRS'!E74,IF('Broker Actual'!E74="-",'GAAP-IFRS'!E74,'Broker Actual'!E74))</f>
        <v>1.161</v>
      </c>
      <c r="C245" s="140">
        <f>CHOOSE(IF($B$1=2,2,1),'GAAP-IFRS'!F74,IF('Broker Actual'!F74="-",'GAAP-IFRS'!F74,'Broker Actual'!F74))</f>
        <v>1.06</v>
      </c>
      <c r="D245" s="140">
        <f>CHOOSE(IF($B$1=2,2,1),'GAAP-IFRS'!G74,IF('Broker Actual'!G74="-",'GAAP-IFRS'!G74,'Broker Actual'!G74))</f>
        <v>2.08</v>
      </c>
      <c r="E245" s="140">
        <f>CHOOSE(IF($B$1=2,2,1),'GAAP-IFRS'!H74,IF('Broker Actual'!H74="-",'GAAP-IFRS'!H74,'Broker Actual'!H74))</f>
        <v>2.2949999999999999</v>
      </c>
      <c r="F245" s="140">
        <f>CHOOSE(IF($B$1=2,2,1),'GAAP-IFRS'!I74,IF('Broker Actual'!I74="-",'GAAP-IFRS'!I74,'Broker Actual'!I74))</f>
        <v>0.64100000000000001</v>
      </c>
      <c r="G245" s="140">
        <f>CHOOSE(IF($B$1=2,2,1),'GAAP-IFRS'!J74,IF('Broker Actual'!J74="-",'GAAP-IFRS'!J74,'Broker Actual'!J74))</f>
        <v>0</v>
      </c>
      <c r="H245" s="140">
        <f>CHOOSE(IF($B$1=2,2,1),'GAAP-IFRS'!K74,IF('Broker Actual'!K74="-",'GAAP-IFRS'!K74,'Broker Actual'!K74))</f>
        <v>0</v>
      </c>
      <c r="I245" s="140">
        <f>CHOOSE(IF($B$1=2,2,1),'GAAP-IFRS'!L74,IF('Broker Actual'!L74="-",'GAAP-IFRS'!L74,'Broker Actual'!L74))</f>
        <v>0</v>
      </c>
      <c r="J245" s="140">
        <f>CHOOSE(IF($B$1=2,2,1),'GAAP-IFRS'!M74,IF('Broker Actual'!M74="-",'GAAP-IFRS'!M74,'Broker Actual'!M74))</f>
        <v>0</v>
      </c>
      <c r="K245" s="140">
        <f>CHOOSE(IF($B$1=2,2,1),'GAAP-IFRS'!N74,IF('Broker Actual'!N74="-",'GAAP-IFRS'!N74,'Broker Actual'!N74))</f>
        <v>-2.5419999999999998</v>
      </c>
      <c r="L245" s="140">
        <f>CHOOSE(IF($B$1=2,2,1),'GAAP-IFRS'!O74,IF('Broker Actual'!O74="-",'GAAP-IFRS'!O74,'Broker Actual'!O74))</f>
        <v>-5.508</v>
      </c>
      <c r="M245" s="148">
        <f>L245</f>
        <v>-5.508</v>
      </c>
      <c r="N245" s="148">
        <f t="shared" ref="N245:Q245" si="121">M245</f>
        <v>-5.508</v>
      </c>
      <c r="O245" s="148">
        <f t="shared" si="121"/>
        <v>-5.508</v>
      </c>
      <c r="P245" s="148">
        <f t="shared" si="121"/>
        <v>-5.508</v>
      </c>
      <c r="Q245" s="148">
        <f t="shared" si="121"/>
        <v>-5.508</v>
      </c>
      <c r="R245" s="124"/>
      <c r="S245" s="124"/>
      <c r="T245" s="124"/>
      <c r="U245" s="124"/>
      <c r="V245" s="124"/>
      <c r="W245" s="125"/>
      <c r="X245" s="126"/>
      <c r="Y245" s="126"/>
      <c r="Z245" s="124"/>
      <c r="AA245" s="124"/>
      <c r="AB245" s="124"/>
      <c r="AC245" s="124"/>
      <c r="AD245" s="124"/>
      <c r="AE245" s="127"/>
    </row>
    <row r="246" spans="1:31" s="118" customFormat="1" outlineLevel="1" x14ac:dyDescent="0.3">
      <c r="A246" s="118" t="s">
        <v>188</v>
      </c>
      <c r="B246" s="155">
        <f>CHOOSE(IF($B$1=2,2,1),'GAAP-IFRS'!E75,IF('Broker Actual'!E75="-",'GAAP-IFRS'!E75,'Broker Actual'!E75))</f>
        <v>24.798999999999999</v>
      </c>
      <c r="C246" s="155">
        <f>CHOOSE(IF($B$1=2,2,1),'GAAP-IFRS'!F75,IF('Broker Actual'!F75="-",'GAAP-IFRS'!F75,'Broker Actual'!F75))</f>
        <v>97.751999999999995</v>
      </c>
      <c r="D246" s="155">
        <f>CHOOSE(IF($B$1=2,2,1),'GAAP-IFRS'!G75,IF('Broker Actual'!G75="-",'GAAP-IFRS'!G75,'Broker Actual'!G75))</f>
        <v>-49.414999999999999</v>
      </c>
      <c r="E246" s="155">
        <f>CHOOSE(IF($B$1=2,2,1),'GAAP-IFRS'!H75,IF('Broker Actual'!H75="-",'GAAP-IFRS'!H75,'Broker Actual'!H75))</f>
        <v>-12.272</v>
      </c>
      <c r="F246" s="155">
        <f>CHOOSE(IF($B$1=2,2,1),'GAAP-IFRS'!I75,IF('Broker Actual'!I75="-",'GAAP-IFRS'!I75,'Broker Actual'!I75))</f>
        <v>-24.84</v>
      </c>
      <c r="G246" s="155">
        <f>CHOOSE(IF($B$1=2,2,1),'GAAP-IFRS'!J75,IF('Broker Actual'!J75="-",'GAAP-IFRS'!J75,'Broker Actual'!J75))</f>
        <v>37.957000000000001</v>
      </c>
      <c r="H246" s="155">
        <f>CHOOSE(IF($B$1=2,2,1),'GAAP-IFRS'!K75,IF('Broker Actual'!K75="-",'GAAP-IFRS'!K75,'Broker Actual'!K75))</f>
        <v>-27.716000000000001</v>
      </c>
      <c r="I246" s="155">
        <f>CHOOSE(IF($B$1=2,2,1),'GAAP-IFRS'!L75,IF('Broker Actual'!L75="-",'GAAP-IFRS'!L75,'Broker Actual'!L75))</f>
        <v>-115.03</v>
      </c>
      <c r="J246" s="155">
        <f>CHOOSE(IF($B$1=2,2,1),'GAAP-IFRS'!M75,IF('Broker Actual'!M75="-",'GAAP-IFRS'!M75,'Broker Actual'!M75))</f>
        <v>-17.010999999999999</v>
      </c>
      <c r="K246" s="155">
        <f>CHOOSE(IF($B$1=2,2,1),'GAAP-IFRS'!N75,IF('Broker Actual'!N75="-",'GAAP-IFRS'!N75,'Broker Actual'!N75))</f>
        <v>-29.687999999999999</v>
      </c>
      <c r="L246" s="155">
        <f>CHOOSE(IF($B$1=2,2,1),'GAAP-IFRS'!O75,IF('Broker Actual'!O75="-",'GAAP-IFRS'!O75,'Broker Actual'!O75))</f>
        <v>41.396999999999998</v>
      </c>
      <c r="M246" s="156">
        <f>SUM(M241,M243,M244,M245)</f>
        <v>-40.473865259989076</v>
      </c>
      <c r="N246" s="156">
        <f t="shared" ref="N246:Q246" si="122">SUM(N241,N243,N244,N245)</f>
        <v>-30.520589071008178</v>
      </c>
      <c r="O246" s="156">
        <f t="shared" si="122"/>
        <v>-35.854640381234042</v>
      </c>
      <c r="P246" s="156">
        <f t="shared" si="122"/>
        <v>-77.079940043213412</v>
      </c>
      <c r="Q246" s="156">
        <f t="shared" si="122"/>
        <v>-88.571055817111642</v>
      </c>
      <c r="R246" s="157"/>
      <c r="S246" s="157"/>
      <c r="T246" s="157"/>
      <c r="U246" s="157"/>
      <c r="V246" s="157"/>
      <c r="W246" s="158"/>
      <c r="X246" s="159" t="s">
        <v>91</v>
      </c>
      <c r="Y246" s="159" t="s">
        <v>189</v>
      </c>
      <c r="Z246" s="157" t="str" cm="1">
        <f t="array" ref="Z246">_xll.FDSC("--",$A$1,""&amp;$X246&amp;"("&amp;$Y246&amp;","&amp;D$2&amp;",ANNUAL_ROLL,+1,0,,,'CURRENCY="&amp;$E$1&amp;"')")</f>
        <v>--</v>
      </c>
      <c r="AA246" s="157" t="str" cm="1">
        <f t="array" ref="AA246">_xll.FDSC("--",$A$1,""&amp;$X246&amp;"("&amp;$Y246&amp;","&amp;D$2&amp;",ANNUAL_ROLL,+2,0,,,'CURRENCY="&amp;$E$1&amp;"')")</f>
        <v>--</v>
      </c>
      <c r="AB246" s="157" t="str" cm="1">
        <f t="array" ref="AB246">_xll.FDSC("--",$A$1,""&amp;$X246&amp;"("&amp;$Y246&amp;","&amp;D$2&amp;",ANNUAL_ROLL,+3,0,,,'CURRENCY="&amp;$E$1&amp;"')")</f>
        <v>--</v>
      </c>
      <c r="AC246" s="157"/>
      <c r="AD246" s="157" cm="1">
        <f t="array" ref="AD246">_xll.FDSC("--",$A$1,"FF_FIN_CF(LTM_R,0,,,,"&amp;$E$1&amp;")@FF_FIN_CF(LTM_SEMI_R,0,,,,"&amp;$E$1&amp;")")</f>
        <v>-35.347000000000001</v>
      </c>
      <c r="AE246" s="160"/>
    </row>
    <row r="247" spans="1:31" outlineLevel="1" x14ac:dyDescent="0.3">
      <c r="B247" s="124"/>
      <c r="C247" s="124"/>
      <c r="D247" s="124"/>
      <c r="E247" s="124"/>
      <c r="F247" s="124"/>
      <c r="G247" s="124"/>
      <c r="H247" s="124"/>
      <c r="I247" s="124"/>
      <c r="J247" s="124"/>
      <c r="K247" s="124"/>
      <c r="L247" s="124"/>
      <c r="M247" s="124"/>
      <c r="N247" s="124"/>
      <c r="O247" s="124"/>
      <c r="P247" s="124"/>
      <c r="Q247" s="124"/>
      <c r="R247" s="124"/>
      <c r="S247" s="124"/>
      <c r="T247" s="124"/>
      <c r="U247" s="124"/>
      <c r="V247" s="124"/>
      <c r="W247" s="125"/>
      <c r="X247" s="126"/>
      <c r="Y247" s="126"/>
      <c r="Z247" s="124"/>
      <c r="AA247" s="124"/>
      <c r="AB247" s="124"/>
      <c r="AC247" s="124"/>
      <c r="AD247" s="124"/>
      <c r="AE247" s="127"/>
    </row>
    <row r="248" spans="1:31" outlineLevel="1" x14ac:dyDescent="0.3">
      <c r="A248" s="118" t="s">
        <v>190</v>
      </c>
      <c r="B248" s="140"/>
      <c r="C248" s="140"/>
      <c r="D248" s="140"/>
      <c r="E248" s="140"/>
      <c r="F248" s="140"/>
      <c r="G248" s="140"/>
      <c r="H248" s="140"/>
      <c r="I248" s="140"/>
      <c r="J248" s="140"/>
      <c r="K248" s="140"/>
      <c r="L248" s="140"/>
      <c r="M248" s="124"/>
      <c r="N248" s="124"/>
      <c r="O248" s="124"/>
      <c r="P248" s="124"/>
      <c r="Q248" s="124"/>
      <c r="R248" s="124"/>
      <c r="S248" s="124"/>
      <c r="T248" s="124"/>
      <c r="U248" s="124"/>
      <c r="V248" s="124"/>
      <c r="W248" s="190"/>
      <c r="X248" s="126"/>
      <c r="Y248" s="126"/>
      <c r="Z248" s="124"/>
      <c r="AA248" s="124"/>
      <c r="AB248" s="124"/>
      <c r="AC248" s="124"/>
      <c r="AD248" s="124"/>
      <c r="AE248" s="127"/>
    </row>
    <row r="249" spans="1:31" outlineLevel="1" x14ac:dyDescent="0.3">
      <c r="A249" s="79" t="s">
        <v>191</v>
      </c>
      <c r="B249" s="140">
        <f>CHOOSE(IF($B$1=2,2,1),'GAAP-IFRS'!E78,IF('Broker Actual'!E78="-",'GAAP-IFRS'!E78,'Broker Actual'!E78))</f>
        <v>5.0000000000000001E-3</v>
      </c>
      <c r="C249" s="140" t="str">
        <f>CHOOSE(IF($B$1=2,2,1),'GAAP-IFRS'!F78,IF('Broker Actual'!F78="-",'GAAP-IFRS'!F78,'Broker Actual'!F78))</f>
        <v/>
      </c>
      <c r="D249" s="140">
        <f>CHOOSE(IF($B$1=2,2,1),'GAAP-IFRS'!G78,IF('Broker Actual'!G78="-",'GAAP-IFRS'!G78,'Broker Actual'!G78))</f>
        <v>-2.9000000000000001E-2</v>
      </c>
      <c r="E249" s="140">
        <f>CHOOSE(IF($B$1=2,2,1),'GAAP-IFRS'!H78,IF('Broker Actual'!H78="-",'GAAP-IFRS'!H78,'Broker Actual'!H78))</f>
        <v>-6.0999999999999999E-2</v>
      </c>
      <c r="F249" s="140">
        <f>CHOOSE(IF($B$1=2,2,1),'GAAP-IFRS'!I78,IF('Broker Actual'!I78="-",'GAAP-IFRS'!I78,'Broker Actual'!I78))</f>
        <v>3.0000000000000001E-3</v>
      </c>
      <c r="G249" s="140">
        <f>CHOOSE(IF($B$1=2,2,1),'GAAP-IFRS'!J78,IF('Broker Actual'!J78="-",'GAAP-IFRS'!J78,'Broker Actual'!J78))</f>
        <v>6.0999999999999999E-2</v>
      </c>
      <c r="H249" s="140">
        <f>CHOOSE(IF($B$1=2,2,1),'GAAP-IFRS'!K78,IF('Broker Actual'!K78="-",'GAAP-IFRS'!K78,'Broker Actual'!K78))</f>
        <v>-0.16400000000000001</v>
      </c>
      <c r="I249" s="140">
        <f>CHOOSE(IF($B$1=2,2,1),'GAAP-IFRS'!L78,IF('Broker Actual'!L78="-",'GAAP-IFRS'!L78,'Broker Actual'!L78))</f>
        <v>-2.1999999999999999E-2</v>
      </c>
      <c r="J249" s="140">
        <f>CHOOSE(IF($B$1=2,2,1),'GAAP-IFRS'!M78,IF('Broker Actual'!M78="-",'GAAP-IFRS'!M78,'Broker Actual'!M78))</f>
        <v>2E-3</v>
      </c>
      <c r="K249" s="140">
        <f>CHOOSE(IF($B$1=2,2,1),'GAAP-IFRS'!N78,IF('Broker Actual'!N78="-",'GAAP-IFRS'!N78,'Broker Actual'!N78))</f>
        <v>-5.3999999999999999E-2</v>
      </c>
      <c r="L249" s="140">
        <f>CHOOSE(IF($B$1=2,2,1),'GAAP-IFRS'!O78,IF('Broker Actual'!O78="-",'GAAP-IFRS'!O78,'Broker Actual'!O78))</f>
        <v>-9.8000000000000004E-2</v>
      </c>
      <c r="M249" s="124"/>
      <c r="N249" s="124"/>
      <c r="O249" s="124"/>
      <c r="P249" s="124"/>
      <c r="Q249" s="124"/>
      <c r="R249" s="124"/>
      <c r="S249" s="124"/>
      <c r="T249" s="124"/>
      <c r="U249" s="124"/>
      <c r="V249" s="124"/>
      <c r="W249" s="125"/>
      <c r="X249" s="126"/>
      <c r="Y249" s="126"/>
      <c r="Z249" s="124"/>
      <c r="AA249" s="124"/>
      <c r="AB249" s="124"/>
      <c r="AC249" s="124"/>
      <c r="AD249" s="124" cm="1">
        <f t="array" ref="AD249">_xll.FDSC("--",$A$1,"FF_FOR_EXCH_CF(LTM_R,0,,,,"&amp;$E$1&amp;")@FF_FOR_EXCH_CF(LTM_SEMI_R,0,,,,"&amp;$E$1&amp;")")</f>
        <v>-4.3999999999999997E-2</v>
      </c>
      <c r="AE249" s="127"/>
    </row>
    <row r="250" spans="1:31" outlineLevel="1" x14ac:dyDescent="0.3">
      <c r="A250" s="79" t="s">
        <v>192</v>
      </c>
      <c r="B250" s="140">
        <f>CHOOSE(IF($B$1=2,2,1),'GAAP-IFRS'!E79,IF('Broker Actual'!E79="-",'GAAP-IFRS'!E79,'Broker Actual'!E79))</f>
        <v>129.85900000000001</v>
      </c>
      <c r="C250" s="140">
        <f>CHOOSE(IF($B$1=2,2,1),'GAAP-IFRS'!F79,IF('Broker Actual'!F79="-",'GAAP-IFRS'!F79,'Broker Actual'!F79))</f>
        <v>63.183999999999997</v>
      </c>
      <c r="D250" s="140">
        <f>CHOOSE(IF($B$1=2,2,1),'GAAP-IFRS'!G79,IF('Broker Actual'!G79="-",'GAAP-IFRS'!G79,'Broker Actual'!G79))</f>
        <v>21.318000000000001</v>
      </c>
      <c r="E250" s="140">
        <f>CHOOSE(IF($B$1=2,2,1),'GAAP-IFRS'!H79,IF('Broker Actual'!H79="-",'GAAP-IFRS'!H79,'Broker Actual'!H79))</f>
        <v>-46.677999999999997</v>
      </c>
      <c r="F250" s="140">
        <f>CHOOSE(IF($B$1=2,2,1),'GAAP-IFRS'!I79,IF('Broker Actual'!I79="-",'GAAP-IFRS'!I79,'Broker Actual'!I79))</f>
        <v>12.792999999999999</v>
      </c>
      <c r="G250" s="140">
        <f>CHOOSE(IF($B$1=2,2,1),'GAAP-IFRS'!J79,IF('Broker Actual'!J79="-",'GAAP-IFRS'!J79,'Broker Actual'!J79))</f>
        <v>-24.646999999999998</v>
      </c>
      <c r="H250" s="140">
        <f>CHOOSE(IF($B$1=2,2,1),'GAAP-IFRS'!K79,IF('Broker Actual'!K79="-",'GAAP-IFRS'!K79,'Broker Actual'!K79))</f>
        <v>-16.535</v>
      </c>
      <c r="I250" s="140">
        <f>CHOOSE(IF($B$1=2,2,1),'GAAP-IFRS'!L79,IF('Broker Actual'!L79="-",'GAAP-IFRS'!L79,'Broker Actual'!L79))</f>
        <v>-10.24</v>
      </c>
      <c r="J250" s="140">
        <f>CHOOSE(IF($B$1=2,2,1),'GAAP-IFRS'!M79,IF('Broker Actual'!M79="-",'GAAP-IFRS'!M79,'Broker Actual'!M79))</f>
        <v>203.82300000000001</v>
      </c>
      <c r="K250" s="140">
        <f>CHOOSE(IF($B$1=2,2,1),'GAAP-IFRS'!N79,IF('Broker Actual'!N79="-",'GAAP-IFRS'!N79,'Broker Actual'!N79))</f>
        <v>197.602</v>
      </c>
      <c r="L250" s="140">
        <f>CHOOSE(IF($B$1=2,2,1),'GAAP-IFRS'!O79,IF('Broker Actual'!O79="-",'GAAP-IFRS'!O79,'Broker Actual'!O79))</f>
        <v>-393.58</v>
      </c>
      <c r="M250" s="124"/>
      <c r="N250" s="124"/>
      <c r="O250" s="124"/>
      <c r="P250" s="124"/>
      <c r="Q250" s="124"/>
      <c r="R250" s="124"/>
      <c r="S250" s="124"/>
      <c r="T250" s="124"/>
      <c r="U250" s="124"/>
      <c r="V250" s="124"/>
      <c r="W250" s="125"/>
      <c r="X250" s="126"/>
      <c r="Y250" s="126"/>
      <c r="Z250" s="124"/>
      <c r="AA250" s="124"/>
      <c r="AB250" s="124"/>
      <c r="AC250" s="124"/>
      <c r="AD250" s="124" cm="1">
        <f t="array" ref="AD250">_xll.FDSC("--",$A$1,"FF_CHG_CASH_CF(LTM_R,0,,,,"&amp;$E$1&amp;")@FF_CHG_CASH_CF(LTM_SEMI_R,0,,,,"&amp;$E$1&amp;")")</f>
        <v>-66.11</v>
      </c>
      <c r="AE250" s="127"/>
    </row>
    <row r="251" spans="1:31" outlineLevel="1" x14ac:dyDescent="0.3">
      <c r="A251" s="79" t="s">
        <v>193</v>
      </c>
      <c r="B251" s="140">
        <f>CHOOSE(IF($B$1=2,2,1),'GAAP-IFRS'!E80,IF('Broker Actual'!E80="-",'GAAP-IFRS'!E80,'Broker Actual'!E80))</f>
        <v>96.509</v>
      </c>
      <c r="C251" s="140">
        <f>CHOOSE(IF($B$1=2,2,1),'GAAP-IFRS'!F80,IF('Broker Actual'!F80="-",'GAAP-IFRS'!F80,'Broker Actual'!F80))</f>
        <v>41.137</v>
      </c>
      <c r="D251" s="140">
        <f>CHOOSE(IF($B$1=2,2,1),'GAAP-IFRS'!G80,IF('Broker Actual'!G80="-",'GAAP-IFRS'!G80,'Broker Actual'!G80))</f>
        <v>76.605999999999995</v>
      </c>
      <c r="E251" s="140">
        <f>CHOOSE(IF($B$1=2,2,1),'GAAP-IFRS'!H80,IF('Broker Actual'!H80="-",'GAAP-IFRS'!H80,'Broker Actual'!H80))</f>
        <v>32.761000000000003</v>
      </c>
      <c r="F251" s="140">
        <f>CHOOSE(IF($B$1=2,2,1),'GAAP-IFRS'!I80,IF('Broker Actual'!I80="-",'GAAP-IFRS'!I80,'Broker Actual'!I80))</f>
        <v>75.418999999999997</v>
      </c>
      <c r="G251" s="140">
        <f>CHOOSE(IF($B$1=2,2,1),'GAAP-IFRS'!J80,IF('Broker Actual'!J80="-",'GAAP-IFRS'!J80,'Broker Actual'!J80))</f>
        <v>13.428000000000001</v>
      </c>
      <c r="H251" s="140">
        <f>CHOOSE(IF($B$1=2,2,1),'GAAP-IFRS'!K80,IF('Broker Actual'!K80="-",'GAAP-IFRS'!K80,'Broker Actual'!K80))</f>
        <v>16.91</v>
      </c>
      <c r="I251" s="140">
        <f>CHOOSE(IF($B$1=2,2,1),'GAAP-IFRS'!L80,IF('Broker Actual'!L80="-",'GAAP-IFRS'!L80,'Broker Actual'!L80))</f>
        <v>40.575000000000003</v>
      </c>
      <c r="J251" s="140">
        <f>CHOOSE(IF($B$1=2,2,1),'GAAP-IFRS'!M80,IF('Broker Actual'!M80="-",'GAAP-IFRS'!M80,'Broker Actual'!M80))</f>
        <v>60.572000000000003</v>
      </c>
      <c r="K251" s="140">
        <f>CHOOSE(IF($B$1=2,2,1),'GAAP-IFRS'!N80,IF('Broker Actual'!N80="-",'GAAP-IFRS'!N80,'Broker Actual'!N80))</f>
        <v>84.706000000000003</v>
      </c>
      <c r="L251" s="140">
        <f>CHOOSE(IF($B$1=2,2,1),'GAAP-IFRS'!O80,IF('Broker Actual'!O80="-",'GAAP-IFRS'!O80,'Broker Actual'!O80))</f>
        <v>-15.798999999999999</v>
      </c>
      <c r="M251" s="124"/>
      <c r="N251" s="124"/>
      <c r="O251" s="124"/>
      <c r="P251" s="124"/>
      <c r="Q251" s="124"/>
      <c r="R251" s="124"/>
      <c r="S251" s="124"/>
      <c r="T251" s="124"/>
      <c r="U251" s="124"/>
      <c r="V251" s="124"/>
      <c r="W251" s="125"/>
      <c r="X251" s="126" t="s">
        <v>91</v>
      </c>
      <c r="Y251" s="126" t="s">
        <v>194</v>
      </c>
      <c r="Z251" s="124" t="str" cm="1">
        <f t="array" ref="Z251">_xll.FDSC("--",$A$1,""&amp;$X251&amp;"("&amp;$Y251&amp;","&amp;D$2&amp;",ANNUAL_ROLL,+1,0,,,'CURRENCY="&amp;$E$1&amp;"')")</f>
        <v>--</v>
      </c>
      <c r="AA251" s="124" t="str" cm="1">
        <f t="array" ref="AA251">_xll.FDSC("--",$A$1,""&amp;$X251&amp;"("&amp;$Y251&amp;","&amp;D$2&amp;",ANNUAL_ROLL,+2,0,,,'CURRENCY="&amp;$E$1&amp;"')")</f>
        <v>--</v>
      </c>
      <c r="AB251" s="124" t="str" cm="1">
        <f t="array" ref="AB251">_xll.FDSC("--",$A$1,""&amp;$X251&amp;"("&amp;$Y251&amp;","&amp;D$2&amp;",ANNUAL_ROLL,+3,0,,,'CURRENCY="&amp;$E$1&amp;"')")</f>
        <v>--</v>
      </c>
      <c r="AC251" s="124"/>
      <c r="AD251" s="124" cm="1">
        <f t="array" ref="AD251">_xll.FDSC("--",$A$1,"FF_FREE_CF(LTM_R,0,,,,"&amp;$E$1&amp;")@FF_FREE_CF(LTM_SEMI_R,0,,,,"&amp;$E$1&amp;")")</f>
        <v>-28.404</v>
      </c>
      <c r="AE251" s="127"/>
    </row>
    <row r="252" spans="1:31" outlineLevel="1" x14ac:dyDescent="0.3">
      <c r="A252" s="79" t="s">
        <v>195</v>
      </c>
      <c r="B252" s="192">
        <f>CHOOSE(IF($B$1=2,2,1),'GAAP-IFRS'!E81,IF('Broker Actual'!E81="-",'GAAP-IFRS'!E81,'Broker Actual'!E81))</f>
        <v>9.8348109650463709</v>
      </c>
      <c r="C252" s="192">
        <f>CHOOSE(IF($B$1=2,2,1),'GAAP-IFRS'!F81,IF('Broker Actual'!F81="-",'GAAP-IFRS'!F81,'Broker Actual'!F81))</f>
        <v>3.69870526883654</v>
      </c>
      <c r="D252" s="192">
        <f>CHOOSE(IF($B$1=2,2,1),'GAAP-IFRS'!G81,IF('Broker Actual'!G81="-",'GAAP-IFRS'!G81,'Broker Actual'!G81))</f>
        <v>6.55088079356935</v>
      </c>
      <c r="E252" s="192">
        <f>CHOOSE(IF($B$1=2,2,1),'GAAP-IFRS'!H81,IF('Broker Actual'!H81="-",'GAAP-IFRS'!H81,'Broker Actual'!H81))</f>
        <v>2.88516072214883</v>
      </c>
      <c r="F252" s="192">
        <f>CHOOSE(IF($B$1=2,2,1),'GAAP-IFRS'!I81,IF('Broker Actual'!I81="-",'GAAP-IFRS'!I81,'Broker Actual'!I81))</f>
        <v>6.93635611146878</v>
      </c>
      <c r="G252" s="192">
        <f>CHOOSE(IF($B$1=2,2,1),'GAAP-IFRS'!J81,IF('Broker Actual'!J81="-",'GAAP-IFRS'!J81,'Broker Actual'!J81))</f>
        <v>1.5690581911661601</v>
      </c>
      <c r="H252" s="192">
        <f>CHOOSE(IF($B$1=2,2,1),'GAAP-IFRS'!K81,IF('Broker Actual'!K81="-",'GAAP-IFRS'!K81,'Broker Actual'!K81))</f>
        <v>2.1418619379354</v>
      </c>
      <c r="I252" s="192">
        <f>CHOOSE(IF($B$1=2,2,1),'GAAP-IFRS'!L81,IF('Broker Actual'!L81="-",'GAAP-IFRS'!L81,'Broker Actual'!L81))</f>
        <v>3.9631764016409501</v>
      </c>
      <c r="J252" s="192">
        <f>CHOOSE(IF($B$1=2,2,1),'GAAP-IFRS'!M81,IF('Broker Actual'!M81="-",'GAAP-IFRS'!M81,'Broker Actual'!M81))</f>
        <v>6.2484010728285497</v>
      </c>
      <c r="K252" s="192">
        <f>CHOOSE(IF($B$1=2,2,1),'GAAP-IFRS'!N81,IF('Broker Actual'!N81="-",'GAAP-IFRS'!N81,'Broker Actual'!N81))</f>
        <v>9.8724941724941697</v>
      </c>
      <c r="L252" s="192">
        <f>CHOOSE(IF($B$1=2,2,1),'GAAP-IFRS'!O81,IF('Broker Actual'!O81="-",'GAAP-IFRS'!O81,'Broker Actual'!O81))</f>
        <v>-1.7918793240331199</v>
      </c>
    </row>
    <row r="253" spans="1:31" outlineLevel="1" x14ac:dyDescent="0.3">
      <c r="A253" s="79" t="s">
        <v>196</v>
      </c>
      <c r="B253" s="130">
        <f>B252/B57</f>
        <v>4.2099812784061996E-2</v>
      </c>
      <c r="C253" s="130">
        <f t="shared" ref="C253:L253" si="123">C252/C$57</f>
        <v>1.5341722810079889E-2</v>
      </c>
      <c r="D253" s="130">
        <f t="shared" si="123"/>
        <v>2.4617376379399904E-2</v>
      </c>
      <c r="E253" s="130">
        <f t="shared" si="123"/>
        <v>1.0089667923808297E-2</v>
      </c>
      <c r="F253" s="130">
        <f t="shared" si="123"/>
        <v>2.6229763775851324E-2</v>
      </c>
      <c r="G253" s="130">
        <f t="shared" si="123"/>
        <v>6.4198840910867985E-3</v>
      </c>
      <c r="H253" s="130">
        <f t="shared" si="123"/>
        <v>9.2604237843738647E-3</v>
      </c>
      <c r="I253" s="130">
        <f t="shared" si="123"/>
        <v>1.6344747897263007E-2</v>
      </c>
      <c r="J253" s="130">
        <f t="shared" si="123"/>
        <v>2.0127758845848109E-2</v>
      </c>
      <c r="K253" s="130">
        <f t="shared" si="123"/>
        <v>2.4202331790922543E-2</v>
      </c>
      <c r="L253" s="130">
        <f t="shared" si="123"/>
        <v>-3.5868935930665801E-3</v>
      </c>
    </row>
    <row r="254" spans="1:31" outlineLevel="1" x14ac:dyDescent="0.3">
      <c r="B254" s="193"/>
      <c r="C254" s="193"/>
      <c r="D254" s="193"/>
      <c r="E254" s="193"/>
      <c r="F254" s="193"/>
      <c r="G254" s="193"/>
      <c r="H254" s="193"/>
      <c r="I254" s="193"/>
    </row>
    <row r="255" spans="1:31" outlineLevel="1" x14ac:dyDescent="0.3">
      <c r="B255" s="193"/>
      <c r="C255" s="193"/>
      <c r="D255" s="193"/>
      <c r="E255" s="193"/>
      <c r="F255" s="193"/>
      <c r="G255" s="193"/>
      <c r="H255" s="193"/>
    </row>
    <row r="256" spans="1:31" outlineLevel="1" x14ac:dyDescent="0.3">
      <c r="B256" s="193"/>
      <c r="C256" s="193"/>
      <c r="D256" s="193"/>
      <c r="E256" s="193"/>
      <c r="F256" s="193"/>
      <c r="G256" s="193"/>
      <c r="H256" s="193"/>
      <c r="L256" s="128"/>
    </row>
    <row r="257" spans="1:1" outlineLevel="1" x14ac:dyDescent="0.3"/>
    <row r="258" spans="1:1" outlineLevel="1" x14ac:dyDescent="0.3"/>
    <row r="259" spans="1:1" outlineLevel="1" x14ac:dyDescent="0.3"/>
    <row r="260" spans="1:1" outlineLevel="1" x14ac:dyDescent="0.3"/>
    <row r="261" spans="1:1" outlineLevel="1" x14ac:dyDescent="0.3"/>
    <row r="262" spans="1:1" outlineLevel="1" x14ac:dyDescent="0.3"/>
    <row r="263" spans="1:1" outlineLevel="1" x14ac:dyDescent="0.3"/>
    <row r="264" spans="1:1" outlineLevel="1" x14ac:dyDescent="0.3"/>
    <row r="265" spans="1:1" outlineLevel="1" x14ac:dyDescent="0.3"/>
    <row r="266" spans="1:1" outlineLevel="1" x14ac:dyDescent="0.3"/>
    <row r="267" spans="1:1" outlineLevel="1" x14ac:dyDescent="0.3">
      <c r="A267" s="118"/>
    </row>
  </sheetData>
  <conditionalFormatting sqref="B57:L57 B107:L107 B114:L114 B116:L117 B121:L121 B123:L123 B128:L128 B135:L135 B137:L137 B154:L154">
    <cfRule type="expression" dxfId="66" priority="35">
      <formula>$B$1=2</formula>
    </cfRule>
  </conditionalFormatting>
  <conditionalFormatting sqref="B105:L105">
    <cfRule type="expression" dxfId="64" priority="3">
      <formula>$B$1=1</formula>
    </cfRule>
    <cfRule type="expression" dxfId="63" priority="4">
      <formula>$B$1=2</formula>
    </cfRule>
  </conditionalFormatting>
  <conditionalFormatting sqref="B154:L155">
    <cfRule type="expression" dxfId="57" priority="26">
      <formula>$B$1=1</formula>
    </cfRule>
  </conditionalFormatting>
  <conditionalFormatting sqref="B155:L155">
    <cfRule type="expression" dxfId="56" priority="27">
      <formula>$B$1=2</formula>
    </cfRule>
  </conditionalFormatting>
  <conditionalFormatting sqref="B157:L157">
    <cfRule type="expression" dxfId="55" priority="24">
      <formula>$B$1=1</formula>
    </cfRule>
    <cfRule type="expression" dxfId="54" priority="25">
      <formula>$B$1=2</formula>
    </cfRule>
  </conditionalFormatting>
  <conditionalFormatting sqref="B159:L162 B164:L164">
    <cfRule type="expression" dxfId="52" priority="22">
      <formula>$B$1=1</formula>
    </cfRule>
    <cfRule type="expression" dxfId="51" priority="23">
      <formula>$B$1=2</formula>
    </cfRule>
  </conditionalFormatting>
  <conditionalFormatting sqref="B208:L209 B211:L211">
    <cfRule type="expression" dxfId="49" priority="16">
      <formula>$B$1=1</formula>
    </cfRule>
    <cfRule type="expression" dxfId="48" priority="17">
      <formula>$B$1=2</formula>
    </cfRule>
  </conditionalFormatting>
  <conditionalFormatting sqref="B213:L213 B228:L229">
    <cfRule type="expression" dxfId="47" priority="41">
      <formula>$B$1=2</formula>
    </cfRule>
  </conditionalFormatting>
  <conditionalFormatting sqref="B215:L215">
    <cfRule type="expression" dxfId="45" priority="57">
      <formula>$B$1=2</formula>
    </cfRule>
  </conditionalFormatting>
  <conditionalFormatting sqref="B217:L217 B57:L57 B107:L107 B114:L114 B116:L117 B121:L121 B123:L123 B128:L128 B135:L135 B137:L137 B213:L213 B215:L215 B219:L219">
    <cfRule type="expression" dxfId="44" priority="34">
      <formula>$B$1=1</formula>
    </cfRule>
  </conditionalFormatting>
  <conditionalFormatting sqref="B219:L219">
    <cfRule type="expression" dxfId="42" priority="55">
      <formula>$B$1=2</formula>
    </cfRule>
  </conditionalFormatting>
  <conditionalFormatting sqref="B222:L222">
    <cfRule type="expression" dxfId="40" priority="1">
      <formula>$B$1=2</formula>
    </cfRule>
    <cfRule type="expression" dxfId="39" priority="2">
      <formula>$B$1=1</formula>
    </cfRule>
  </conditionalFormatting>
  <conditionalFormatting sqref="B224:L228 B230:L231 B217:L217">
    <cfRule type="expression" dxfId="38" priority="14">
      <formula>$B$1=2</formula>
    </cfRule>
  </conditionalFormatting>
  <conditionalFormatting sqref="B224:L228">
    <cfRule type="expression" dxfId="36" priority="47">
      <formula>$B$1=2</formula>
    </cfRule>
  </conditionalFormatting>
  <conditionalFormatting sqref="B224:L232">
    <cfRule type="expression" dxfId="35" priority="13">
      <formula>$B$1=1</formula>
    </cfRule>
  </conditionalFormatting>
  <conditionalFormatting sqref="B225:L228">
    <cfRule type="expression" dxfId="33" priority="45">
      <formula>$B$1=2</formula>
    </cfRule>
  </conditionalFormatting>
  <conditionalFormatting sqref="B227:L227">
    <cfRule type="expression" dxfId="31" priority="43">
      <formula>$B$1=2</formula>
    </cfRule>
  </conditionalFormatting>
  <conditionalFormatting sqref="B230:L230">
    <cfRule type="expression" dxfId="28" priority="51">
      <formula>$B$1=2</formula>
    </cfRule>
  </conditionalFormatting>
  <conditionalFormatting sqref="B230:L231">
    <cfRule type="expression" dxfId="26" priority="49">
      <formula>$B$1=2</formula>
    </cfRule>
  </conditionalFormatting>
  <conditionalFormatting sqref="B231:L231">
    <cfRule type="expression" dxfId="24" priority="39">
      <formula>$B$1=2</formula>
    </cfRule>
    <cfRule type="expression" dxfId="22" priority="53">
      <formula>$B$1=2</formula>
    </cfRule>
  </conditionalFormatting>
  <conditionalFormatting sqref="B232:L232">
    <cfRule type="expression" dxfId="20" priority="37">
      <formula>$B$1=2</formula>
    </cfRule>
  </conditionalFormatting>
  <conditionalFormatting sqref="B241:L241">
    <cfRule type="expression" dxfId="18" priority="10">
      <formula>$B$1=1</formula>
    </cfRule>
    <cfRule type="expression" dxfId="17" priority="11">
      <formula>$B$1=2</formula>
    </cfRule>
  </conditionalFormatting>
  <conditionalFormatting sqref="B243:L246 B249:L252">
    <cfRule type="expression" dxfId="15" priority="7">
      <formula>$B$1=1</formula>
    </cfRule>
    <cfRule type="expression" dxfId="14" priority="8">
      <formula>$B$1=2</formula>
    </cfRule>
  </conditionalFormatting>
  <conditionalFormatting sqref="M166 B166:L170 B172:L174">
    <cfRule type="expression" dxfId="12" priority="19">
      <formula>$B$1=1</formula>
    </cfRule>
    <cfRule type="expression" dxfId="11" priority="20">
      <formula>$B$1=2</formula>
    </cfRule>
  </conditionalFormatting>
  <conditionalFormatting sqref="M169:Q169">
    <cfRule type="cellIs" dxfId="10" priority="5" operator="lessThan">
      <formula>0</formula>
    </cfRule>
  </conditionalFormatting>
  <pageMargins left="0.7" right="0.7" top="0.75" bottom="0.75" header="0.3" footer="0.3"/>
  <pageSetup orientation="portrait" verticalDpi="1200" r:id="rId1"/>
  <legacy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33" id="{4AD2D030-9958-4DB9-9DA4-3B7BD7A754FF}">
            <xm:f>AND($B$1=2,'Broker Actual'!E25="-")</xm:f>
            <x14:dxf>
              <font>
                <color rgb="FF00B050"/>
              </font>
            </x14:dxf>
          </x14:cfRule>
          <xm:sqref>B105:L105 B107:L107</xm:sqref>
        </x14:conditionalFormatting>
        <x14:conditionalFormatting xmlns:xm="http://schemas.microsoft.com/office/excel/2006/main">
          <x14:cfRule type="expression" priority="31" id="{CC4684D8-6C99-4A3E-A590-7A71A8669411}">
            <xm:f>AND($B$1=2,'Broker Actual'!E17="-")</xm:f>
            <x14:dxf>
              <font>
                <color rgb="FF00B050"/>
              </font>
            </x14:dxf>
          </x14:cfRule>
          <xm:sqref>B116:L117</xm:sqref>
        </x14:conditionalFormatting>
        <x14:conditionalFormatting xmlns:xm="http://schemas.microsoft.com/office/excel/2006/main">
          <x14:cfRule type="expression" priority="30" id="{09A6E2B2-7F01-43B6-874B-A0044A25200E}">
            <xm:f>AND($B$1=2,'Broker Actual'!E19="-")</xm:f>
            <x14:dxf>
              <font>
                <color rgb="FF00B050"/>
              </font>
            </x14:dxf>
          </x14:cfRule>
          <xm:sqref>B121:L121 B123:L123</xm:sqref>
        </x14:conditionalFormatting>
        <x14:conditionalFormatting xmlns:xm="http://schemas.microsoft.com/office/excel/2006/main">
          <x14:cfRule type="expression" priority="29" id="{252D664F-B0FA-4382-A50E-D46AD6B5814E}">
            <xm:f>AND($B$1=2,'Broker Actual'!E22="-")</xm:f>
            <x14:dxf>
              <font>
                <color rgb="FF00B050"/>
              </font>
            </x14:dxf>
          </x14:cfRule>
          <xm:sqref>B128:L128</xm:sqref>
        </x14:conditionalFormatting>
        <x14:conditionalFormatting xmlns:xm="http://schemas.microsoft.com/office/excel/2006/main">
          <x14:cfRule type="expression" priority="28" id="{4E116001-581D-4D2A-89A0-28CF10B474D1}">
            <xm:f>AND($B$1=2,'Broker Actual'!E24="-")</xm:f>
            <x14:dxf>
              <font>
                <color rgb="FF00B050"/>
              </font>
            </x14:dxf>
          </x14:cfRule>
          <xm:sqref>B135:L135 B137:L137</xm:sqref>
        </x14:conditionalFormatting>
        <x14:conditionalFormatting xmlns:xm="http://schemas.microsoft.com/office/excel/2006/main">
          <x14:cfRule type="expression" priority="32" id="{9C3140BF-418E-493A-843B-B008347E8550}">
            <xm:f>AND($B$1=2,'Broker Actual'!E28="-")</xm:f>
            <x14:dxf>
              <font>
                <color rgb="FF00B050"/>
              </font>
            </x14:dxf>
          </x14:cfRule>
          <xm:sqref>B154:L155 B157:L157</xm:sqref>
        </x14:conditionalFormatting>
        <x14:conditionalFormatting xmlns:xm="http://schemas.microsoft.com/office/excel/2006/main">
          <x14:cfRule type="expression" priority="21" id="{D8C0C89D-EE4B-4E3F-B95E-A860B695B426}">
            <xm:f>AND($B$1=2,'Broker Actual'!E32="-")</xm:f>
            <x14:dxf>
              <font>
                <color rgb="FF00B050"/>
              </font>
            </x14:dxf>
          </x14:cfRule>
          <xm:sqref>B159:L162 B164:L164</xm:sqref>
        </x14:conditionalFormatting>
        <x14:conditionalFormatting xmlns:xm="http://schemas.microsoft.com/office/excel/2006/main">
          <x14:cfRule type="expression" priority="15" id="{466F944A-F308-437C-A61E-56972BBBB841}">
            <xm:f>AND($B$1=2,'Broker Actual'!E50="-")</xm:f>
            <x14:dxf>
              <font>
                <color rgb="FF00B050"/>
              </font>
            </x14:dxf>
          </x14:cfRule>
          <xm:sqref>B208:L209 B211:L211</xm:sqref>
        </x14:conditionalFormatting>
        <x14:conditionalFormatting xmlns:xm="http://schemas.microsoft.com/office/excel/2006/main">
          <x14:cfRule type="expression" priority="56" id="{DD869DA4-9243-4BB4-9B09-4625E735A3AC}">
            <xm:f>AND($B$1=2,'Broker Actual'!E54="-")</xm:f>
            <x14:dxf>
              <font>
                <color rgb="FF00B050"/>
              </font>
            </x14:dxf>
          </x14:cfRule>
          <xm:sqref>B215:L215</xm:sqref>
        </x14:conditionalFormatting>
        <x14:conditionalFormatting xmlns:xm="http://schemas.microsoft.com/office/excel/2006/main">
          <x14:cfRule type="expression" priority="54" id="{51527FCB-DEFA-4EEB-B475-B1CB1CF471D3}">
            <xm:f>AND($B$1=2,'Broker Actual'!E56="-")</xm:f>
            <x14:dxf>
              <font>
                <color rgb="FF00B050"/>
              </font>
            </x14:dxf>
          </x14:cfRule>
          <xm:sqref>B219:L219</xm:sqref>
        </x14:conditionalFormatting>
        <x14:conditionalFormatting xmlns:xm="http://schemas.microsoft.com/office/excel/2006/main">
          <x14:cfRule type="expression" priority="12" id="{81A5349C-9DDF-48FA-8481-A2A977D3768F}">
            <xm:f>AND($B$1=2,'Broker Actual'!E55="-")</xm:f>
            <x14:dxf>
              <font>
                <color rgb="FF00B050"/>
              </font>
            </x14:dxf>
          </x14:cfRule>
          <xm:sqref>B222:L222 B217:L217 B224:L228 B230:L231</xm:sqref>
        </x14:conditionalFormatting>
        <x14:conditionalFormatting xmlns:xm="http://schemas.microsoft.com/office/excel/2006/main">
          <x14:cfRule type="expression" priority="46" id="{E5E70D12-E441-4BF0-A98C-6117D3BADFE0}">
            <xm:f>AND($B$1=2,'Broker Actual'!E68="-")</xm:f>
            <x14:dxf>
              <font>
                <color rgb="FF00B050"/>
              </font>
            </x14:dxf>
          </x14:cfRule>
          <xm:sqref>B224:L228</xm:sqref>
        </x14:conditionalFormatting>
        <x14:conditionalFormatting xmlns:xm="http://schemas.microsoft.com/office/excel/2006/main">
          <x14:cfRule type="expression" priority="44" id="{7EFC409A-13D1-4536-AA45-967437E2D46F}">
            <xm:f>AND($B$1=2,'Broker Actual'!E68="-")</xm:f>
            <x14:dxf>
              <font>
                <color rgb="FF00B050"/>
              </font>
            </x14:dxf>
          </x14:cfRule>
          <xm:sqref>B225:L228</xm:sqref>
        </x14:conditionalFormatting>
        <x14:conditionalFormatting xmlns:xm="http://schemas.microsoft.com/office/excel/2006/main">
          <x14:cfRule type="expression" priority="42" id="{B1929CE7-DD5B-489A-9F84-E1F2754EC91C}">
            <xm:f>AND($B$1=2,'Broker Actual'!E68="-")</xm:f>
            <x14:dxf>
              <font>
                <color rgb="FF00B050"/>
              </font>
            </x14:dxf>
          </x14:cfRule>
          <xm:sqref>B227:L227</xm:sqref>
        </x14:conditionalFormatting>
        <x14:conditionalFormatting xmlns:xm="http://schemas.microsoft.com/office/excel/2006/main">
          <x14:cfRule type="expression" priority="40" id="{8F5B4AD4-F882-4454-919D-5BFEC69F3C8C}">
            <xm:f>AND($B$1=2,'Broker Actual'!E53="-")</xm:f>
            <x14:dxf>
              <font>
                <color rgb="FF00B050"/>
              </font>
            </x14:dxf>
          </x14:cfRule>
          <xm:sqref>B228:L229 B213:L213</xm:sqref>
        </x14:conditionalFormatting>
        <x14:conditionalFormatting xmlns:xm="http://schemas.microsoft.com/office/excel/2006/main">
          <x14:cfRule type="expression" priority="50" id="{B76E40D3-600E-4F65-B38C-1AE4E126139C}">
            <xm:f>AND($B$1=2,'Broker Actual'!#REF!="-")</xm:f>
            <x14:dxf>
              <font>
                <color rgb="FF00B050"/>
              </font>
            </x14:dxf>
          </x14:cfRule>
          <xm:sqref>B230:L230</xm:sqref>
        </x14:conditionalFormatting>
        <x14:conditionalFormatting xmlns:xm="http://schemas.microsoft.com/office/excel/2006/main">
          <x14:cfRule type="expression" priority="48" id="{76941BC0-B01D-401C-9DC9-273092841590}">
            <xm:f>AND($B$1=2,'Broker Actual'!#REF!="-")</xm:f>
            <x14:dxf>
              <font>
                <color rgb="FF00B050"/>
              </font>
            </x14:dxf>
          </x14:cfRule>
          <xm:sqref>B230:L231</xm:sqref>
        </x14:conditionalFormatting>
        <x14:conditionalFormatting xmlns:xm="http://schemas.microsoft.com/office/excel/2006/main">
          <x14:cfRule type="expression" priority="38" id="{D7D46921-A249-40EE-9887-A856CA466367}">
            <xm:f>AND($B$1=2,'Broker Actual'!E68="-")</xm:f>
            <x14:dxf>
              <font>
                <color rgb="FF00B050"/>
              </font>
            </x14:dxf>
          </x14:cfRule>
          <x14:cfRule type="expression" priority="52" id="{38B6646F-CB85-442B-9F11-29756A2D8E55}">
            <xm:f>AND($B$1=2,'Broker Actual'!E73="-")</xm:f>
            <x14:dxf>
              <font>
                <color rgb="FF00B050"/>
              </font>
            </x14:dxf>
          </x14:cfRule>
          <xm:sqref>B231:L231</xm:sqref>
        </x14:conditionalFormatting>
        <x14:conditionalFormatting xmlns:xm="http://schemas.microsoft.com/office/excel/2006/main">
          <x14:cfRule type="expression" priority="36" id="{51BAB6FC-A32F-4D30-95C0-78E93457992E}">
            <xm:f>AND($B$1=2,'Broker Actual'!E68="-")</xm:f>
            <x14:dxf>
              <font>
                <color rgb="FF00B050"/>
              </font>
            </x14:dxf>
          </x14:cfRule>
          <xm:sqref>B232:L232</xm:sqref>
        </x14:conditionalFormatting>
        <x14:conditionalFormatting xmlns:xm="http://schemas.microsoft.com/office/excel/2006/main">
          <x14:cfRule type="expression" priority="9" id="{769A6F5E-BC31-40F5-8C47-EA5636BA146B}">
            <xm:f>AND($B$1=2,'Broker Actual'!E71="-")</xm:f>
            <x14:dxf>
              <font>
                <color rgb="FF00B050"/>
              </font>
            </x14:dxf>
          </x14:cfRule>
          <xm:sqref>B241:L241</xm:sqref>
        </x14:conditionalFormatting>
        <x14:conditionalFormatting xmlns:xm="http://schemas.microsoft.com/office/excel/2006/main">
          <x14:cfRule type="expression" priority="6" id="{9735DBDA-9F4F-445A-BA8D-3DED2CE8F6C6}">
            <xm:f>AND($B$1=2,'Broker Actual'!E72="-")</xm:f>
            <x14:dxf>
              <font>
                <color rgb="FF00B050"/>
              </font>
            </x14:dxf>
          </x14:cfRule>
          <xm:sqref>B243:L246 B249:L252</xm:sqref>
        </x14:conditionalFormatting>
        <x14:conditionalFormatting xmlns:xm="http://schemas.microsoft.com/office/excel/2006/main">
          <x14:cfRule type="expression" priority="18" id="{819F1592-2678-4D9B-B828-114795C38334}">
            <xm:f>AND($B$1=2,'Broker Actual'!E38="-")</xm:f>
            <x14:dxf>
              <font>
                <color rgb="FF00B050"/>
              </font>
            </x14:dxf>
          </x14:cfRule>
          <xm:sqref>M166 B166:L170 B172:L174</xm:sqref>
        </x14:conditionalFormatting>
      </x14:conditionalFormatting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0416A2-F8DB-410B-8F54-657442882428}">
  <dimension ref="A1:U74"/>
  <sheetViews>
    <sheetView zoomScale="60" zoomScaleNormal="60" workbookViewId="0">
      <pane xSplit="7" ySplit="6" topLeftCell="H7" activePane="bottomRight" state="frozen"/>
      <selection activeCell="P249" sqref="P249"/>
      <selection pane="topRight" activeCell="P249" sqref="P249"/>
      <selection pane="bottomLeft" activeCell="P249" sqref="P249"/>
      <selection pane="bottomRight" activeCell="H7" sqref="H7"/>
    </sheetView>
  </sheetViews>
  <sheetFormatPr defaultColWidth="8.85546875" defaultRowHeight="15" outlineLevelRow="1" outlineLevelCol="1" x14ac:dyDescent="0.25"/>
  <cols>
    <col min="1" max="1" width="1.140625" style="315" customWidth="1"/>
    <col min="2" max="2" width="3.85546875" style="315" customWidth="1"/>
    <col min="3" max="3" width="3.42578125" style="315" customWidth="1"/>
    <col min="4" max="4" width="43" style="315" bestFit="1" customWidth="1"/>
    <col min="5" max="7" width="13.5703125" style="315" customWidth="1" outlineLevel="1"/>
    <col min="8" max="10" width="14.5703125" style="315" customWidth="1"/>
    <col min="11" max="12" width="15" style="315" customWidth="1"/>
    <col min="13" max="20" width="15.85546875" style="315" customWidth="1"/>
    <col min="21" max="16384" width="8.85546875" style="315"/>
  </cols>
  <sheetData>
    <row r="1" spans="1:20" x14ac:dyDescent="0.25">
      <c r="E1" s="315" t="s">
        <v>512</v>
      </c>
      <c r="F1" s="316" t="b">
        <v>1</v>
      </c>
    </row>
    <row r="2" spans="1:20" x14ac:dyDescent="0.25">
      <c r="B2" s="316" t="e">
        <v>#REF!</v>
      </c>
      <c r="E2" s="315" t="s">
        <v>513</v>
      </c>
      <c r="F2" s="317">
        <v>1</v>
      </c>
      <c r="H2" s="318">
        <v>41275</v>
      </c>
      <c r="I2" s="318">
        <v>41640</v>
      </c>
      <c r="J2" s="318">
        <v>42005</v>
      </c>
      <c r="K2" s="318">
        <v>42370</v>
      </c>
      <c r="L2" s="318">
        <v>42736</v>
      </c>
      <c r="M2" s="319">
        <f>L3+1</f>
        <v>43101</v>
      </c>
      <c r="N2" s="319">
        <f t="shared" ref="N2:T2" si="0">M3+1</f>
        <v>43466</v>
      </c>
      <c r="O2" s="319">
        <f t="shared" si="0"/>
        <v>43831</v>
      </c>
      <c r="P2" s="319">
        <f t="shared" si="0"/>
        <v>44197</v>
      </c>
      <c r="Q2" s="319">
        <f t="shared" si="0"/>
        <v>44562</v>
      </c>
      <c r="R2" s="319">
        <f t="shared" si="0"/>
        <v>44927</v>
      </c>
      <c r="S2" s="319">
        <f t="shared" si="0"/>
        <v>45292</v>
      </c>
      <c r="T2" s="319">
        <f t="shared" si="0"/>
        <v>45658</v>
      </c>
    </row>
    <row r="3" spans="1:20" x14ac:dyDescent="0.25">
      <c r="B3" s="315" t="s">
        <v>514</v>
      </c>
      <c r="E3" s="315" t="s">
        <v>515</v>
      </c>
      <c r="F3" s="320">
        <v>2012</v>
      </c>
      <c r="H3" s="318">
        <v>41639</v>
      </c>
      <c r="I3" s="318">
        <v>42004</v>
      </c>
      <c r="J3" s="318">
        <v>42369</v>
      </c>
      <c r="K3" s="318">
        <v>42735</v>
      </c>
      <c r="L3" s="318">
        <v>43100</v>
      </c>
      <c r="M3" s="319">
        <f>EDATE(M2,12)-1</f>
        <v>43465</v>
      </c>
      <c r="N3" s="319">
        <f t="shared" ref="N3:T3" si="1">EDATE(N2,12)-1</f>
        <v>43830</v>
      </c>
      <c r="O3" s="319">
        <f t="shared" si="1"/>
        <v>44196</v>
      </c>
      <c r="P3" s="319">
        <f t="shared" si="1"/>
        <v>44561</v>
      </c>
      <c r="Q3" s="319">
        <f t="shared" si="1"/>
        <v>44926</v>
      </c>
      <c r="R3" s="319">
        <f t="shared" si="1"/>
        <v>45291</v>
      </c>
      <c r="S3" s="319">
        <f t="shared" si="1"/>
        <v>45657</v>
      </c>
      <c r="T3" s="319">
        <f t="shared" si="1"/>
        <v>46022</v>
      </c>
    </row>
    <row r="4" spans="1:20" x14ac:dyDescent="0.25">
      <c r="C4" s="315" t="s">
        <v>516</v>
      </c>
      <c r="E4" s="315" t="s">
        <v>517</v>
      </c>
      <c r="F4" s="316">
        <v>2016</v>
      </c>
      <c r="H4" s="316" t="b">
        <v>1</v>
      </c>
      <c r="I4" s="316" t="b">
        <v>1</v>
      </c>
      <c r="J4" s="316" t="b">
        <v>1</v>
      </c>
      <c r="K4" s="316" t="b">
        <v>1</v>
      </c>
      <c r="L4" s="316" t="b">
        <v>0</v>
      </c>
    </row>
    <row r="5" spans="1:20" x14ac:dyDescent="0.25">
      <c r="C5" s="315" t="s">
        <v>518</v>
      </c>
      <c r="F5" s="318">
        <v>42735</v>
      </c>
      <c r="H5" s="316" t="b">
        <v>0</v>
      </c>
      <c r="I5" s="316" t="b">
        <v>0</v>
      </c>
      <c r="J5" s="316" t="b">
        <v>0</v>
      </c>
      <c r="K5" s="316" t="b">
        <v>0</v>
      </c>
      <c r="L5" s="316" t="b">
        <v>1</v>
      </c>
    </row>
    <row r="6" spans="1:20" x14ac:dyDescent="0.25">
      <c r="C6" s="315" t="s">
        <v>519</v>
      </c>
      <c r="E6" s="315" t="s">
        <v>520</v>
      </c>
      <c r="F6" s="316">
        <v>2017</v>
      </c>
      <c r="H6" s="316" t="b">
        <v>1</v>
      </c>
      <c r="I6" s="316" t="b">
        <v>1</v>
      </c>
      <c r="J6" s="316" t="b">
        <v>1</v>
      </c>
      <c r="K6" s="316" t="b">
        <v>1</v>
      </c>
      <c r="L6" s="316" t="b">
        <v>1</v>
      </c>
    </row>
    <row r="7" spans="1:20" x14ac:dyDescent="0.25">
      <c r="H7" s="321"/>
      <c r="I7" s="321"/>
      <c r="J7" s="321"/>
      <c r="K7" s="321"/>
    </row>
    <row r="8" spans="1:20" s="322" customFormat="1" x14ac:dyDescent="0.25">
      <c r="A8" s="322" t="s">
        <v>504</v>
      </c>
    </row>
    <row r="9" spans="1:20" x14ac:dyDescent="0.25">
      <c r="B9" s="315" t="s">
        <v>521</v>
      </c>
    </row>
    <row r="10" spans="1:20" x14ac:dyDescent="0.25">
      <c r="B10" s="319" t="s">
        <v>522</v>
      </c>
      <c r="H10" s="315" t="s">
        <v>524</v>
      </c>
      <c r="I10" s="315" t="s">
        <v>525</v>
      </c>
      <c r="J10" s="315" t="s">
        <v>526</v>
      </c>
      <c r="K10" s="315" t="s">
        <v>527</v>
      </c>
    </row>
    <row r="11" spans="1:20" x14ac:dyDescent="0.25">
      <c r="B11" s="315" t="s">
        <v>523</v>
      </c>
      <c r="H11" s="323">
        <v>2013</v>
      </c>
      <c r="I11" s="323">
        <v>2014</v>
      </c>
      <c r="J11" s="323">
        <v>2015</v>
      </c>
      <c r="K11" s="323">
        <v>2016</v>
      </c>
      <c r="L11" s="323">
        <v>2017</v>
      </c>
      <c r="M11" s="324">
        <v>2018</v>
      </c>
      <c r="N11" s="324">
        <v>2019</v>
      </c>
      <c r="O11" s="324">
        <v>2020</v>
      </c>
      <c r="P11" s="324">
        <v>2021</v>
      </c>
      <c r="Q11" s="324">
        <v>2022</v>
      </c>
      <c r="R11" s="325" t="s">
        <v>571</v>
      </c>
      <c r="S11" s="325" t="s">
        <v>572</v>
      </c>
      <c r="T11" s="325" t="s">
        <v>573</v>
      </c>
    </row>
    <row r="12" spans="1:20" x14ac:dyDescent="0.25">
      <c r="C12" s="315" t="s">
        <v>505</v>
      </c>
      <c r="H12" s="323"/>
      <c r="I12" s="323"/>
      <c r="J12" s="323"/>
      <c r="K12" s="323"/>
      <c r="L12" s="324"/>
      <c r="M12" s="324"/>
      <c r="N12" s="324"/>
      <c r="O12" s="324"/>
      <c r="P12" s="324"/>
      <c r="Q12" s="324"/>
    </row>
    <row r="13" spans="1:20" x14ac:dyDescent="0.25">
      <c r="D13" s="315" t="s">
        <v>506</v>
      </c>
      <c r="H13" s="410">
        <f>'HCI BS Data'!B24</f>
        <v>293.39801</v>
      </c>
      <c r="I13" s="410">
        <f>'HCI BS Data'!C24</f>
        <v>314.41598499999998</v>
      </c>
      <c r="J13" s="410">
        <f>'HCI BS Data'!D24</f>
        <v>267.73800699999998</v>
      </c>
      <c r="K13" s="410">
        <f>'HCI BS Data'!E24</f>
        <v>280.53100599999999</v>
      </c>
      <c r="L13" s="410">
        <f>'HCI BS Data'!F24</f>
        <v>255.88400300000001</v>
      </c>
      <c r="M13" s="410">
        <f>'HCI BS Data'!G24</f>
        <v>239.45799299999999</v>
      </c>
      <c r="N13" s="410">
        <f>'HCI BS Data'!H24</f>
        <v>229.21800200000001</v>
      </c>
      <c r="O13" s="410">
        <f>'HCI BS Data'!I24</f>
        <v>431.341003</v>
      </c>
      <c r="P13" s="410">
        <f>'HCI BS Data'!J24</f>
        <v>628.942993</v>
      </c>
      <c r="Q13" s="410">
        <f>'HCI BS Data'!K24</f>
        <v>234.86300700000001</v>
      </c>
      <c r="R13" s="411">
        <f>Q13+'API - BASE'!M128</f>
        <v>267.04744347871997</v>
      </c>
      <c r="S13" s="411">
        <f>R13+'API - BASE'!N128</f>
        <v>304.05004424980473</v>
      </c>
      <c r="T13" s="411">
        <f>S13+'API - BASE'!O128</f>
        <v>342.14158775171705</v>
      </c>
    </row>
    <row r="14" spans="1:20" x14ac:dyDescent="0.25">
      <c r="D14" s="315" t="s">
        <v>669</v>
      </c>
      <c r="H14" s="410">
        <f>'HCI BS Data'!B11</f>
        <v>146.02799999999999</v>
      </c>
      <c r="I14" s="410">
        <f>'HCI BS Data'!C11</f>
        <v>168.79899599999999</v>
      </c>
      <c r="J14" s="410">
        <f>'HCI BS Data'!D11</f>
        <v>232.91700700000001</v>
      </c>
      <c r="K14" s="410">
        <f>'HCI BS Data'!E11</f>
        <v>298.73400900000001</v>
      </c>
      <c r="L14" s="410">
        <f>'HCI BS Data'!F11</f>
        <v>380.28601099999997</v>
      </c>
      <c r="M14" s="410">
        <f>'HCI BS Data'!G11</f>
        <v>387.78298999999998</v>
      </c>
      <c r="N14" s="410">
        <f>'HCI BS Data'!H11</f>
        <v>341.48599200000001</v>
      </c>
      <c r="O14" s="410">
        <f>'HCI BS Data'!I11</f>
        <v>225.720001</v>
      </c>
      <c r="P14" s="410">
        <f>'HCI BS Data'!J11</f>
        <v>196.71499600000001</v>
      </c>
      <c r="Q14" s="410">
        <f>'HCI BS Data'!K11</f>
        <v>615.59198000000004</v>
      </c>
      <c r="R14" s="411">
        <f>R26*R59</f>
        <v>618.6175776</v>
      </c>
      <c r="S14" s="411">
        <f>S26*S59</f>
        <v>638.44395208704009</v>
      </c>
      <c r="T14" s="411">
        <f>T26*T59</f>
        <v>617.96054195758097</v>
      </c>
    </row>
    <row r="15" spans="1:20" x14ac:dyDescent="0.25">
      <c r="D15" s="315" t="s">
        <v>508</v>
      </c>
      <c r="H15" s="326">
        <f>'HCI BS Data'!B28</f>
        <v>14.673999999999999</v>
      </c>
      <c r="I15" s="326">
        <f>'HCI BS Data'!C28</f>
        <v>15.824</v>
      </c>
      <c r="J15" s="326">
        <f>'HCI BS Data'!D28</f>
        <v>19.631001000000001</v>
      </c>
      <c r="K15" s="326">
        <f>'HCI BS Data'!E28</f>
        <v>17.275998999999999</v>
      </c>
      <c r="L15" s="326">
        <f>'HCI BS Data'!F28</f>
        <v>17.806999000000001</v>
      </c>
      <c r="M15" s="326">
        <f>'HCI BS Data'!G28</f>
        <v>16.667000000000002</v>
      </c>
      <c r="N15" s="326">
        <f>'HCI BS Data'!H28</f>
        <v>20.254999000000002</v>
      </c>
      <c r="O15" s="326">
        <f>'HCI BS Data'!I28</f>
        <v>68.382003999999995</v>
      </c>
      <c r="P15" s="326">
        <f>'HCI BS Data'!J28</f>
        <v>68.156998000000002</v>
      </c>
      <c r="Q15" s="326">
        <f>'HCI BS Data'!K28</f>
        <v>34.998001000000002</v>
      </c>
      <c r="R15" s="329">
        <f>'API - BASE'!M23*R60</f>
        <v>40.816005120000007</v>
      </c>
      <c r="S15" s="329">
        <f>'API - BASE'!N23*S60</f>
        <v>60.611767603200008</v>
      </c>
      <c r="T15" s="329">
        <f>'API - BASE'!O23*T60</f>
        <v>68.019872532480022</v>
      </c>
    </row>
    <row r="16" spans="1:20" x14ac:dyDescent="0.25">
      <c r="D16" s="315" t="s">
        <v>528</v>
      </c>
      <c r="H16" s="326">
        <f>'HCI BS Data'!B37</f>
        <v>13.132</v>
      </c>
      <c r="I16" s="326">
        <f>'HCI BS Data'!C37</f>
        <v>12.292</v>
      </c>
      <c r="J16" s="326">
        <f>'HCI BS Data'!D37</f>
        <v>11.786</v>
      </c>
      <c r="K16" s="326">
        <f>'HCI BS Data'!E37</f>
        <v>11.374000000000001</v>
      </c>
      <c r="L16" s="326">
        <f>'HCI BS Data'!F37</f>
        <v>12.465</v>
      </c>
      <c r="M16" s="326">
        <f>'HCI BS Data'!G37</f>
        <v>13.337999999999999</v>
      </c>
      <c r="N16" s="326">
        <f>'HCI BS Data'!H37</f>
        <v>14.698</v>
      </c>
      <c r="O16" s="326">
        <f>'HCI BS Data'!I37</f>
        <v>12.766999999999999</v>
      </c>
      <c r="P16" s="326">
        <f>'HCI BS Data'!J37</f>
        <v>14.231999999999999</v>
      </c>
      <c r="Q16" s="326">
        <f>'HCI BS Data'!K37</f>
        <v>17.91</v>
      </c>
      <c r="R16" s="329">
        <f>'API - BASE'!M23*R61</f>
        <v>25.510003200000003</v>
      </c>
      <c r="S16" s="329">
        <f>'API - BASE'!N23*S61</f>
        <v>33.67320422400001</v>
      </c>
      <c r="T16" s="329">
        <f>'API - BASE'!O23*T61</f>
        <v>34.009936266240011</v>
      </c>
    </row>
    <row r="17" spans="3:20" x14ac:dyDescent="0.25">
      <c r="D17" s="315" t="s">
        <v>559</v>
      </c>
      <c r="H17" s="326">
        <v>0</v>
      </c>
      <c r="I17" s="326">
        <v>0</v>
      </c>
      <c r="J17" s="326">
        <v>0</v>
      </c>
      <c r="K17" s="326">
        <v>0</v>
      </c>
      <c r="L17" s="326">
        <f>'HCI BS Data'!F33</f>
        <v>103.104004</v>
      </c>
      <c r="M17" s="326">
        <f>'HCI BS Data'!G33</f>
        <v>123.91100299999999</v>
      </c>
      <c r="N17" s="326">
        <f>'HCI BS Data'!H33</f>
        <v>132.678009</v>
      </c>
      <c r="O17" s="326">
        <f>'HCI BS Data'!I33</f>
        <v>85.145995999999997</v>
      </c>
      <c r="P17" s="326">
        <f>'HCI BS Data'!J33</f>
        <v>76.650002000000001</v>
      </c>
      <c r="Q17" s="326">
        <f>'HCI BS Data'!K33</f>
        <v>688.35900900000001</v>
      </c>
      <c r="R17" s="329">
        <f>R26*R62</f>
        <v>478.31256000000002</v>
      </c>
      <c r="S17" s="329">
        <f t="shared" ref="S17:T17" si="2">S26*S62</f>
        <v>399.02747005440006</v>
      </c>
      <c r="T17" s="329">
        <f t="shared" si="2"/>
        <v>403.01774475494415</v>
      </c>
    </row>
    <row r="18" spans="3:20" x14ac:dyDescent="0.25">
      <c r="D18" s="315" t="s">
        <v>560</v>
      </c>
      <c r="H18" s="326">
        <f>'HCI BS Data'!B36</f>
        <v>14.071</v>
      </c>
      <c r="I18" s="326">
        <f>'HCI BS Data'!C36</f>
        <v>15.013999999999999</v>
      </c>
      <c r="J18" s="326">
        <f>'HCI BS Data'!D36</f>
        <v>18.601998999999999</v>
      </c>
      <c r="K18" s="326">
        <f>'HCI BS Data'!E36</f>
        <v>16.638999999999999</v>
      </c>
      <c r="L18" s="326">
        <f>'HCI BS Data'!F36</f>
        <v>16.712</v>
      </c>
      <c r="M18" s="326">
        <f>'HCI BS Data'!G36</f>
        <v>16.507000000000001</v>
      </c>
      <c r="N18" s="326">
        <f>'HCI BS Data'!H36</f>
        <v>21.663</v>
      </c>
      <c r="O18" s="326">
        <f>'HCI BS Data'!I36</f>
        <v>43.858001999999999</v>
      </c>
      <c r="P18" s="326">
        <f>'HCI BS Data'!J36</f>
        <v>57.695</v>
      </c>
      <c r="Q18" s="326">
        <f>'HCI BS Data'!K36</f>
        <v>45.521999000000001</v>
      </c>
      <c r="R18" s="329">
        <f>'API - BASE'!M23*R63</f>
        <v>45.91800576</v>
      </c>
      <c r="S18" s="329">
        <f>'API - BASE'!N23*S63</f>
        <v>60.611767603200008</v>
      </c>
      <c r="T18" s="329">
        <f>'API - BASE'!O23*T63</f>
        <v>61.217885279232014</v>
      </c>
    </row>
    <row r="19" spans="3:20" x14ac:dyDescent="0.25">
      <c r="D19" s="315" t="s">
        <v>561</v>
      </c>
      <c r="H19" s="326">
        <f>'HCI BS Data'!B32</f>
        <v>28.065999999999999</v>
      </c>
      <c r="I19" s="326">
        <f>'HCI BS Data'!C32</f>
        <v>34.096001000000001</v>
      </c>
      <c r="J19" s="326">
        <f>'HCI BS Data'!D32</f>
        <v>40.747002000000002</v>
      </c>
      <c r="K19" s="326">
        <f>'HCI BS Data'!E32</f>
        <v>24.554001</v>
      </c>
      <c r="L19" s="326">
        <f>'HCI BS Data'!F32</f>
        <v>22.285999</v>
      </c>
      <c r="M19" s="326">
        <f>'HCI BS Data'!G32</f>
        <v>17.931999000000001</v>
      </c>
      <c r="N19" s="326">
        <f>'HCI BS Data'!H32</f>
        <v>17.983000000000001</v>
      </c>
      <c r="O19" s="326">
        <f>'HCI BS Data'!I32</f>
        <v>36.375999</v>
      </c>
      <c r="P19" s="326">
        <f>'HCI BS Data'!J32</f>
        <v>26.355</v>
      </c>
      <c r="Q19" s="326">
        <f>'HCI BS Data'!K32</f>
        <v>66.626998999999998</v>
      </c>
      <c r="R19" s="329">
        <f>'API - BASE'!M23*R64</f>
        <v>71.428008960000014</v>
      </c>
      <c r="S19" s="329">
        <f>'API - BASE'!N23*S64</f>
        <v>94.284971827200025</v>
      </c>
      <c r="T19" s="329">
        <f>'API - BASE'!O23*T64</f>
        <v>95.22782154547204</v>
      </c>
    </row>
    <row r="20" spans="3:20" x14ac:dyDescent="0.25">
      <c r="D20" s="315" t="s">
        <v>529</v>
      </c>
      <c r="H20" s="326" t="str">
        <f>'HCI BS Data'!B42</f>
        <v>-</v>
      </c>
      <c r="I20" s="326" t="str">
        <f>'HCI BS Data'!C42</f>
        <v>-</v>
      </c>
      <c r="J20" s="326">
        <f>'HCI BS Data'!D42</f>
        <v>0</v>
      </c>
      <c r="K20" s="326">
        <f>'HCI BS Data'!E42</f>
        <v>4.899</v>
      </c>
      <c r="L20" s="326">
        <f>'HCI BS Data'!F42</f>
        <v>4.9950000000000001</v>
      </c>
      <c r="M20" s="326">
        <f>'HCI BS Data'!G42</f>
        <v>4.8</v>
      </c>
      <c r="N20" s="326">
        <f>'HCI BS Data'!H42</f>
        <v>4.1920000000000002</v>
      </c>
      <c r="O20" s="326">
        <f>'HCI BS Data'!I42</f>
        <v>3.5680000000000001</v>
      </c>
      <c r="P20" s="326">
        <f>'HCI BS Data'!J42</f>
        <v>10.635999999999999</v>
      </c>
      <c r="Q20" s="326">
        <f>'HCI BS Data'!K42</f>
        <v>10.577999999999999</v>
      </c>
      <c r="R20" s="341">
        <f>Q20</f>
        <v>10.577999999999999</v>
      </c>
      <c r="S20" s="341">
        <f t="shared" ref="S20:T20" si="3">R20</f>
        <v>10.577999999999999</v>
      </c>
      <c r="T20" s="341">
        <f t="shared" si="3"/>
        <v>10.577999999999999</v>
      </c>
    </row>
    <row r="21" spans="3:20" x14ac:dyDescent="0.25">
      <c r="D21" s="315" t="s">
        <v>294</v>
      </c>
      <c r="H21" s="326" t="str">
        <f>'HCI BS Data'!B44</f>
        <v>-</v>
      </c>
      <c r="I21" s="326" t="str">
        <f>'HCI BS Data'!C44</f>
        <v>-</v>
      </c>
      <c r="J21" s="326" t="str">
        <f>'HCI BS Data'!D44</f>
        <v>-</v>
      </c>
      <c r="K21" s="326" t="str">
        <f>'HCI BS Data'!E44</f>
        <v>-</v>
      </c>
      <c r="L21" s="326" t="str">
        <f>'HCI BS Data'!F44</f>
        <v>-</v>
      </c>
      <c r="M21" s="326" t="str">
        <f>'HCI BS Data'!G44</f>
        <v>-</v>
      </c>
      <c r="N21" s="326" t="str">
        <f>'HCI BS Data'!H44</f>
        <v>-</v>
      </c>
      <c r="O21" s="326">
        <f>'HCI BS Data'!I44</f>
        <v>0</v>
      </c>
      <c r="P21" s="326">
        <f>'HCI BS Data'!J44</f>
        <v>73.716003000000001</v>
      </c>
      <c r="Q21" s="326">
        <f>'HCI BS Data'!K44</f>
        <v>48.771999000000001</v>
      </c>
      <c r="R21" s="341">
        <f>Q21*1.1</f>
        <v>53.649198900000009</v>
      </c>
      <c r="S21" s="341">
        <f t="shared" ref="S21:T21" si="4">R21*1.1</f>
        <v>59.014118790000012</v>
      </c>
      <c r="T21" s="341">
        <f t="shared" si="4"/>
        <v>64.91553066900002</v>
      </c>
    </row>
    <row r="22" spans="3:20" x14ac:dyDescent="0.25">
      <c r="D22" s="315" t="s">
        <v>236</v>
      </c>
      <c r="H22" s="326">
        <f>'HCI BS Data'!B45</f>
        <v>16.946999999999999</v>
      </c>
      <c r="I22" s="326">
        <f>'HCI BS Data'!C45</f>
        <v>38.116</v>
      </c>
      <c r="J22" s="326">
        <f>'HCI BS Data'!D45</f>
        <v>45.564997999999996</v>
      </c>
      <c r="K22" s="326">
        <f>'HCI BS Data'!E45</f>
        <v>16.057000000000002</v>
      </c>
      <c r="L22" s="326">
        <f>'HCI BS Data'!F45</f>
        <v>28.724999</v>
      </c>
      <c r="M22" s="326">
        <f>'HCI BS Data'!G45</f>
        <v>12.466999999999999</v>
      </c>
      <c r="N22" s="326">
        <f>'HCI BS Data'!H45</f>
        <v>20.435999999999996</v>
      </c>
      <c r="O22" s="326">
        <f>'HCI BS Data'!I45</f>
        <v>34.154998999999997</v>
      </c>
      <c r="P22" s="326">
        <f>'HCI BS Data'!J45</f>
        <v>23.757999999999999</v>
      </c>
      <c r="Q22" s="326">
        <f>'HCI BS Data'!K45</f>
        <v>40.106997999999997</v>
      </c>
      <c r="R22" s="341">
        <f>Q22*1.1</f>
        <v>44.117697800000002</v>
      </c>
      <c r="S22" s="341">
        <f t="shared" ref="S22:T22" si="5">R22*1.1</f>
        <v>48.529467580000009</v>
      </c>
      <c r="T22" s="341">
        <f t="shared" si="5"/>
        <v>53.382414338000018</v>
      </c>
    </row>
    <row r="23" spans="3:20" ht="15.75" thickBot="1" x14ac:dyDescent="0.3">
      <c r="D23" s="327" t="s">
        <v>144</v>
      </c>
      <c r="E23" s="327"/>
      <c r="F23" s="327"/>
      <c r="G23" s="327"/>
      <c r="H23" s="328">
        <f>SUM(H13:H22)</f>
        <v>526.31601000000001</v>
      </c>
      <c r="I23" s="328">
        <f t="shared" ref="I23:Q23" si="6">SUM(I13:I22)</f>
        <v>598.55698199999995</v>
      </c>
      <c r="J23" s="328">
        <f t="shared" si="6"/>
        <v>636.98601399999984</v>
      </c>
      <c r="K23" s="328">
        <f t="shared" si="6"/>
        <v>670.06401499999993</v>
      </c>
      <c r="L23" s="328">
        <f t="shared" si="6"/>
        <v>842.26401500000009</v>
      </c>
      <c r="M23" s="328">
        <f t="shared" si="6"/>
        <v>832.86298499999987</v>
      </c>
      <c r="N23" s="328">
        <f t="shared" si="6"/>
        <v>802.60900199999992</v>
      </c>
      <c r="O23" s="328">
        <f t="shared" si="6"/>
        <v>941.31300399999986</v>
      </c>
      <c r="P23" s="328">
        <f t="shared" si="6"/>
        <v>1176.856992</v>
      </c>
      <c r="Q23" s="328">
        <f t="shared" si="6"/>
        <v>1803.3279920000002</v>
      </c>
      <c r="R23" s="353">
        <f>SUM(R13:R22)</f>
        <v>1655.9945008187201</v>
      </c>
      <c r="S23" s="353">
        <f t="shared" ref="S23:T23" si="7">SUM(S13:S22)</f>
        <v>1708.8247640188451</v>
      </c>
      <c r="T23" s="353">
        <f t="shared" si="7"/>
        <v>1750.4713350946663</v>
      </c>
    </row>
    <row r="24" spans="3:20" x14ac:dyDescent="0.25">
      <c r="H24" s="330"/>
      <c r="I24" s="330"/>
      <c r="J24" s="330"/>
      <c r="K24" s="330"/>
      <c r="L24" s="330"/>
      <c r="M24" s="324"/>
      <c r="N24" s="324"/>
      <c r="O24" s="324"/>
      <c r="P24" s="324"/>
      <c r="Q24" s="324"/>
    </row>
    <row r="25" spans="3:20" x14ac:dyDescent="0.25">
      <c r="C25" s="315" t="s">
        <v>511</v>
      </c>
      <c r="H25" s="330"/>
      <c r="I25" s="330"/>
      <c r="J25" s="330"/>
      <c r="K25" s="330"/>
      <c r="L25" s="324"/>
      <c r="M25" s="324"/>
      <c r="N25" s="324"/>
      <c r="O25" s="324"/>
      <c r="P25" s="324"/>
      <c r="Q25" s="324"/>
    </row>
    <row r="26" spans="3:20" x14ac:dyDescent="0.25">
      <c r="D26" s="315" t="s">
        <v>563</v>
      </c>
      <c r="H26" s="326">
        <f>'HCI BS Data'!B48</f>
        <v>43.686000999999997</v>
      </c>
      <c r="I26" s="326">
        <f>'HCI BS Data'!C48</f>
        <v>48.908000999999999</v>
      </c>
      <c r="J26" s="326">
        <f>'HCI BS Data'!D48</f>
        <v>51.689999</v>
      </c>
      <c r="K26" s="326">
        <f>'HCI BS Data'!E48</f>
        <v>70.491996999999998</v>
      </c>
      <c r="L26" s="326">
        <f>'HCI BS Data'!F48</f>
        <v>198.578003</v>
      </c>
      <c r="M26" s="326">
        <f>'HCI BS Data'!G48</f>
        <v>207.58599899999999</v>
      </c>
      <c r="N26" s="326">
        <f>'HCI BS Data'!H48</f>
        <v>214.69700599999999</v>
      </c>
      <c r="O26" s="326">
        <f>'HCI BS Data'!I48</f>
        <v>212.169006</v>
      </c>
      <c r="P26" s="326">
        <f>'HCI BS Data'!J48</f>
        <v>237.16499300000001</v>
      </c>
      <c r="Q26" s="326">
        <f>'HCI BS Data'!K48</f>
        <v>863.76501499999995</v>
      </c>
      <c r="R26" s="329">
        <f>'API - BASE'!M23*'BS - BASE'!R67</f>
        <v>637.75008000000003</v>
      </c>
      <c r="S26" s="329">
        <f>'API - BASE'!N23*'BS - BASE'!S67</f>
        <v>532.03662673920007</v>
      </c>
      <c r="T26" s="329">
        <f>'API - BASE'!O23*'BS - BASE'!T67</f>
        <v>537.35699300659223</v>
      </c>
    </row>
    <row r="27" spans="3:20" x14ac:dyDescent="0.25">
      <c r="D27" s="315" t="s">
        <v>530</v>
      </c>
      <c r="H27" s="326">
        <f>'HCI BS Data'!B49</f>
        <v>171.90699799999999</v>
      </c>
      <c r="I27" s="326">
        <f>'HCI BS Data'!C49</f>
        <v>214.070999</v>
      </c>
      <c r="J27" s="326">
        <f>'HCI BS Data'!D49</f>
        <v>187.28999300000001</v>
      </c>
      <c r="K27" s="326">
        <f>'HCI BS Data'!E49</f>
        <v>175.80299400000001</v>
      </c>
      <c r="L27" s="326">
        <f>'HCI BS Data'!F49</f>
        <v>164.895996</v>
      </c>
      <c r="M27" s="326">
        <f>'HCI BS Data'!G49</f>
        <v>157.729004</v>
      </c>
      <c r="N27" s="326">
        <f>'HCI BS Data'!H49</f>
        <v>181.162994</v>
      </c>
      <c r="O27" s="326">
        <f>'HCI BS Data'!I49</f>
        <v>269.39898699999998</v>
      </c>
      <c r="P27" s="326">
        <f>'HCI BS Data'!J49</f>
        <v>366.743988</v>
      </c>
      <c r="Q27" s="326">
        <f>'HCI BS Data'!K49</f>
        <v>368.04699699999998</v>
      </c>
      <c r="R27" s="329">
        <f>'API - BASE'!M23*R68</f>
        <v>403.05805056000008</v>
      </c>
      <c r="S27" s="329">
        <f>'API - BASE'!N23*S68</f>
        <v>532.03662673920007</v>
      </c>
      <c r="T27" s="329">
        <f>'API - BASE'!O23*T68</f>
        <v>537.35699300659223</v>
      </c>
    </row>
    <row r="28" spans="3:20" x14ac:dyDescent="0.25">
      <c r="D28" s="315" t="s">
        <v>564</v>
      </c>
      <c r="H28" s="326">
        <f>'HCI BS Data'!B51</f>
        <v>8.5359999999999996</v>
      </c>
      <c r="I28" s="326">
        <f>'HCI BS Data'!C51</f>
        <v>9.2059999999999995</v>
      </c>
      <c r="J28" s="326">
        <f>'HCI BS Data'!D51</f>
        <v>11.298999999999999</v>
      </c>
      <c r="K28" s="326">
        <f>'HCI BS Data'!E51</f>
        <v>11.164</v>
      </c>
      <c r="L28" s="326">
        <f>'HCI BS Data'!F51</f>
        <v>10.983000000000001</v>
      </c>
      <c r="M28" s="326">
        <f>'HCI BS Data'!G51</f>
        <v>12.674999</v>
      </c>
      <c r="N28" s="326">
        <f>'HCI BS Data'!H51</f>
        <v>15.648001000000001</v>
      </c>
      <c r="O28" s="326">
        <f>'HCI BS Data'!I51</f>
        <v>21.550999000000001</v>
      </c>
      <c r="P28" s="326">
        <f>'HCI BS Data'!J51</f>
        <v>29.223998999999999</v>
      </c>
      <c r="Q28" s="326">
        <f>'HCI BS Data'!K51</f>
        <v>33.121001999999997</v>
      </c>
      <c r="R28" s="329">
        <f>Q28*1.1</f>
        <v>36.4331022</v>
      </c>
      <c r="S28" s="329">
        <f t="shared" ref="S28:T28" si="8">R28*1.1</f>
        <v>40.076412420000004</v>
      </c>
      <c r="T28" s="329">
        <f t="shared" si="8"/>
        <v>44.084053662000009</v>
      </c>
    </row>
    <row r="29" spans="3:20" x14ac:dyDescent="0.25">
      <c r="D29" s="315" t="s">
        <v>149</v>
      </c>
      <c r="H29" s="326">
        <f>'HCI BS Data'!B67</f>
        <v>126.931999</v>
      </c>
      <c r="I29" s="326">
        <f>'HCI BS Data'!C67</f>
        <v>125.886002</v>
      </c>
      <c r="J29" s="326">
        <f>'HCI BS Data'!D67</f>
        <v>129.429001</v>
      </c>
      <c r="K29" s="326">
        <f>'HCI BS Data'!E67</f>
        <v>138.86300700000001</v>
      </c>
      <c r="L29" s="326">
        <f>'HCI BS Data'!F67</f>
        <v>237.83500699999999</v>
      </c>
      <c r="M29" s="326">
        <f>'HCI BS Data'!G67</f>
        <v>250.14999399999999</v>
      </c>
      <c r="N29" s="326">
        <f>'HCI BS Data'!H67</f>
        <v>163.695007</v>
      </c>
      <c r="O29" s="326">
        <f>'HCI BS Data'!I67</f>
        <v>156.51100199999999</v>
      </c>
      <c r="P29" s="326">
        <f>'HCI BS Data'!J67</f>
        <v>45.504002</v>
      </c>
      <c r="Q29" s="326">
        <f>'HCI BS Data'!K67</f>
        <v>211.68699599999999</v>
      </c>
      <c r="R29" s="329">
        <f>R69*R23</f>
        <v>198.71934009824639</v>
      </c>
      <c r="S29" s="329">
        <f t="shared" ref="S29:T29" si="9">S69*S23</f>
        <v>205.05897168226142</v>
      </c>
      <c r="T29" s="329">
        <f t="shared" si="9"/>
        <v>210.05656021135994</v>
      </c>
    </row>
    <row r="30" spans="3:20" x14ac:dyDescent="0.25">
      <c r="D30" s="315" t="s">
        <v>565</v>
      </c>
      <c r="H30" s="326" t="str">
        <f>'HCI BS Data'!B63</f>
        <v>-</v>
      </c>
      <c r="I30" s="326" t="str">
        <f>'HCI BS Data'!C63</f>
        <v>-</v>
      </c>
      <c r="J30" s="326" t="str">
        <f>'HCI BS Data'!D63</f>
        <v>-</v>
      </c>
      <c r="K30" s="326" t="str">
        <f>'HCI BS Data'!E63</f>
        <v>-</v>
      </c>
      <c r="L30" s="326" t="str">
        <f>'HCI BS Data'!F63</f>
        <v>-</v>
      </c>
      <c r="M30" s="326" t="str">
        <f>'HCI BS Data'!G63</f>
        <v>-</v>
      </c>
      <c r="N30" s="326" t="str">
        <f>'HCI BS Data'!H63</f>
        <v>-</v>
      </c>
      <c r="O30" s="326" t="str">
        <f>'HCI BS Data'!I63</f>
        <v>-</v>
      </c>
      <c r="P30" s="326">
        <f>'HCI BS Data'!J63</f>
        <v>0</v>
      </c>
      <c r="Q30" s="326">
        <f>'HCI BS Data'!K63</f>
        <v>19.863001000000001</v>
      </c>
      <c r="R30" s="329">
        <f>Q30</f>
        <v>19.863001000000001</v>
      </c>
      <c r="S30" s="329">
        <v>10</v>
      </c>
      <c r="T30" s="329">
        <v>5</v>
      </c>
    </row>
    <row r="31" spans="3:20" x14ac:dyDescent="0.25">
      <c r="D31" s="315" t="s">
        <v>509</v>
      </c>
      <c r="H31" s="326">
        <f>'HCI BS Data'!B68</f>
        <v>14.191000000000001</v>
      </c>
      <c r="I31" s="326">
        <f>'HCI BS Data'!C68</f>
        <v>17.901001000000001</v>
      </c>
      <c r="J31" s="326">
        <f>'HCI BS Data'!D68</f>
        <v>19.556000000000001</v>
      </c>
      <c r="K31" s="326">
        <f>'HCI BS Data'!E68</f>
        <v>29.996000000000002</v>
      </c>
      <c r="L31" s="326">
        <f>'HCI BS Data'!F68</f>
        <v>35.997001000000004</v>
      </c>
      <c r="M31" s="326">
        <f>'HCI BS Data'!G68</f>
        <v>23.282001000000001</v>
      </c>
      <c r="N31" s="326">
        <f>'HCI BS Data'!H68</f>
        <v>41.863000999999997</v>
      </c>
      <c r="O31" s="326">
        <f>'HCI BS Data'!I68</f>
        <v>80.546999999999997</v>
      </c>
      <c r="P31" s="326">
        <f>'HCI BS Data'!J68</f>
        <v>83.762000999999998</v>
      </c>
      <c r="Q31" s="326">
        <f>'HCI BS Data'!K68</f>
        <v>52.038001000000001</v>
      </c>
      <c r="R31" s="329">
        <f>Q31*1.1</f>
        <v>57.241801100000004</v>
      </c>
      <c r="S31" s="329">
        <f t="shared" ref="S31:T31" si="10">R31*1.1</f>
        <v>62.96598121000001</v>
      </c>
      <c r="T31" s="329">
        <f t="shared" si="10"/>
        <v>69.262579331000012</v>
      </c>
    </row>
    <row r="32" spans="3:20" ht="15.75" thickBot="1" x14ac:dyDescent="0.3">
      <c r="D32" s="327" t="s">
        <v>152</v>
      </c>
      <c r="E32" s="327"/>
      <c r="F32" s="327"/>
      <c r="G32" s="327"/>
      <c r="H32" s="328">
        <f t="shared" ref="H32:Q32" si="11">SUM(H26:H31)</f>
        <v>365.25199799999996</v>
      </c>
      <c r="I32" s="328">
        <f t="shared" si="11"/>
        <v>415.97200300000003</v>
      </c>
      <c r="J32" s="328">
        <f t="shared" si="11"/>
        <v>399.26399299999997</v>
      </c>
      <c r="K32" s="328">
        <f t="shared" si="11"/>
        <v>426.31799799999999</v>
      </c>
      <c r="L32" s="328">
        <f t="shared" si="11"/>
        <v>648.28900699999997</v>
      </c>
      <c r="M32" s="328">
        <f t="shared" si="11"/>
        <v>651.42199700000003</v>
      </c>
      <c r="N32" s="328">
        <f t="shared" si="11"/>
        <v>617.06600900000012</v>
      </c>
      <c r="O32" s="328">
        <f t="shared" si="11"/>
        <v>740.17699400000004</v>
      </c>
      <c r="P32" s="328">
        <f t="shared" si="11"/>
        <v>762.39898300000004</v>
      </c>
      <c r="Q32" s="328">
        <f t="shared" si="11"/>
        <v>1548.5210119999997</v>
      </c>
      <c r="R32" s="342">
        <f>SUM(R26:R31)</f>
        <v>1353.0653749582464</v>
      </c>
      <c r="S32" s="342">
        <f t="shared" ref="S32:T32" si="12">SUM(S26:S31)</f>
        <v>1382.1746187906617</v>
      </c>
      <c r="T32" s="342">
        <f t="shared" si="12"/>
        <v>1403.1171792175446</v>
      </c>
    </row>
    <row r="33" spans="1:20" x14ac:dyDescent="0.25">
      <c r="D33" s="315" t="s">
        <v>316</v>
      </c>
      <c r="H33" s="326">
        <v>0</v>
      </c>
      <c r="I33" s="326">
        <v>0</v>
      </c>
      <c r="J33" s="326">
        <v>0</v>
      </c>
      <c r="K33" s="326">
        <v>0</v>
      </c>
      <c r="L33" s="326">
        <v>0</v>
      </c>
      <c r="M33" s="326">
        <v>0</v>
      </c>
      <c r="N33" s="326">
        <v>0</v>
      </c>
      <c r="O33" s="326">
        <v>0</v>
      </c>
      <c r="P33" s="326">
        <f>'HCI BS Data'!J69</f>
        <v>89.955001999999993</v>
      </c>
      <c r="Q33" s="326">
        <f>'HCI BS Data'!K69</f>
        <v>93.553000999999995</v>
      </c>
      <c r="R33" s="329">
        <f>Q33*1.1</f>
        <v>102.9083011</v>
      </c>
      <c r="S33" s="329">
        <f t="shared" ref="S33:T33" si="13">R33*1.1</f>
        <v>113.19913121000002</v>
      </c>
      <c r="T33" s="329">
        <f t="shared" si="13"/>
        <v>124.51904433100003</v>
      </c>
    </row>
    <row r="34" spans="1:20" x14ac:dyDescent="0.25">
      <c r="H34" s="326"/>
      <c r="I34" s="326"/>
      <c r="J34" s="326"/>
      <c r="K34" s="326"/>
      <c r="L34" s="326"/>
      <c r="M34" s="326"/>
      <c r="N34" s="326"/>
      <c r="O34" s="326"/>
      <c r="P34" s="326"/>
      <c r="Q34" s="326"/>
    </row>
    <row r="35" spans="1:20" x14ac:dyDescent="0.25">
      <c r="D35" s="315" t="s">
        <v>722</v>
      </c>
      <c r="H35" s="326">
        <v>65.457999999999998</v>
      </c>
      <c r="I35" s="326">
        <v>62.664000000000001</v>
      </c>
      <c r="J35" s="326">
        <v>65.861000000000004</v>
      </c>
      <c r="K35" s="326">
        <v>29.021000000000001</v>
      </c>
      <c r="L35" s="326">
        <v>-6.8929999999999998</v>
      </c>
      <c r="M35" s="326">
        <v>17.725000000000001</v>
      </c>
      <c r="N35" s="326">
        <v>26.576000000000001</v>
      </c>
      <c r="O35" s="326">
        <v>27.58</v>
      </c>
      <c r="P35" s="326">
        <v>7.242</v>
      </c>
      <c r="Q35" s="326">
        <v>-54.603000000000002</v>
      </c>
      <c r="R35" s="329">
        <v>33.143915034355999</v>
      </c>
      <c r="S35" s="329">
        <v>40.290927048224994</v>
      </c>
      <c r="T35" s="329">
        <v>38.676320653044151</v>
      </c>
    </row>
    <row r="36" spans="1:20" x14ac:dyDescent="0.25">
      <c r="D36" s="315" t="s">
        <v>184</v>
      </c>
      <c r="H36" s="326">
        <v>-10.901999999999999</v>
      </c>
      <c r="I36" s="326">
        <v>-12.355</v>
      </c>
      <c r="J36" s="326">
        <v>-12.428000000000001</v>
      </c>
      <c r="K36" s="326">
        <v>-12.438000000000001</v>
      </c>
      <c r="L36" s="326">
        <v>-13.906000000000001</v>
      </c>
      <c r="M36" s="326">
        <v>-11.318</v>
      </c>
      <c r="N36" s="326">
        <v>-13.012</v>
      </c>
      <c r="O36" s="326">
        <v>-12.694000000000001</v>
      </c>
      <c r="P36" s="326">
        <v>-14.065</v>
      </c>
      <c r="Q36" s="326">
        <v>-15.233000000000001</v>
      </c>
      <c r="R36" s="329">
        <v>-16.571957517177992</v>
      </c>
      <c r="S36" s="329">
        <v>-16.116370819289997</v>
      </c>
      <c r="T36" s="329">
        <v>-15.470528261217661</v>
      </c>
    </row>
    <row r="37" spans="1:20" x14ac:dyDescent="0.25">
      <c r="H37" s="324"/>
      <c r="I37" s="324"/>
      <c r="J37" s="324"/>
      <c r="K37" s="324"/>
      <c r="L37" s="324"/>
      <c r="M37" s="324"/>
      <c r="N37" s="324"/>
      <c r="O37" s="324"/>
      <c r="P37" s="324"/>
      <c r="Q37" s="324"/>
    </row>
    <row r="38" spans="1:20" x14ac:dyDescent="0.25">
      <c r="D38" s="315" t="s">
        <v>510</v>
      </c>
      <c r="H38" s="326">
        <f>H23-H32-H33</f>
        <v>161.06401200000005</v>
      </c>
      <c r="I38" s="326">
        <f t="shared" ref="I38:T38" si="14">I23-I32-I33</f>
        <v>182.58497899999992</v>
      </c>
      <c r="J38" s="326">
        <f t="shared" si="14"/>
        <v>237.72202099999987</v>
      </c>
      <c r="K38" s="326">
        <f>K23-K32-K33</f>
        <v>243.74601699999994</v>
      </c>
      <c r="L38" s="326">
        <f t="shared" si="14"/>
        <v>193.97500800000012</v>
      </c>
      <c r="M38" s="326">
        <f t="shared" si="14"/>
        <v>181.44098799999983</v>
      </c>
      <c r="N38" s="326">
        <f t="shared" si="14"/>
        <v>185.5429929999998</v>
      </c>
      <c r="O38" s="326">
        <f t="shared" si="14"/>
        <v>201.13600999999983</v>
      </c>
      <c r="P38" s="326">
        <f>P23-P32-P33</f>
        <v>324.50300699999997</v>
      </c>
      <c r="Q38" s="326">
        <f t="shared" si="14"/>
        <v>161.25397900000053</v>
      </c>
      <c r="R38" s="321">
        <f>R23-R32-R33</f>
        <v>200.02082476047372</v>
      </c>
      <c r="S38" s="321">
        <f t="shared" si="14"/>
        <v>213.4510140181834</v>
      </c>
      <c r="T38" s="321">
        <f t="shared" si="14"/>
        <v>222.83511154612165</v>
      </c>
    </row>
    <row r="39" spans="1:20" x14ac:dyDescent="0.25">
      <c r="H39" s="324"/>
      <c r="I39" s="324"/>
      <c r="J39" s="324"/>
      <c r="K39" s="324"/>
      <c r="L39" s="330">
        <v>0</v>
      </c>
      <c r="M39" s="324"/>
      <c r="N39" s="324"/>
      <c r="O39" s="324"/>
      <c r="P39" s="324"/>
      <c r="Q39" s="324"/>
      <c r="R39" s="344"/>
      <c r="S39" s="344"/>
      <c r="T39" s="344"/>
    </row>
    <row r="40" spans="1:20" x14ac:dyDescent="0.25">
      <c r="D40" s="315" t="s">
        <v>511</v>
      </c>
      <c r="H40" s="326">
        <f>H38+H32</f>
        <v>526.31601000000001</v>
      </c>
      <c r="I40" s="326">
        <f t="shared" ref="I40:O40" si="15">I38+I32</f>
        <v>598.55698199999995</v>
      </c>
      <c r="J40" s="326">
        <f t="shared" si="15"/>
        <v>636.98601399999984</v>
      </c>
      <c r="K40" s="326">
        <f t="shared" si="15"/>
        <v>670.06401499999993</v>
      </c>
      <c r="L40" s="326">
        <f t="shared" si="15"/>
        <v>842.26401500000009</v>
      </c>
      <c r="M40" s="326">
        <f t="shared" si="15"/>
        <v>832.86298499999987</v>
      </c>
      <c r="N40" s="326">
        <f t="shared" si="15"/>
        <v>802.60900199999992</v>
      </c>
      <c r="O40" s="326">
        <f t="shared" si="15"/>
        <v>941.31300399999986</v>
      </c>
      <c r="P40" s="326">
        <f>P38+P32+P33</f>
        <v>1176.856992</v>
      </c>
      <c r="Q40" s="326">
        <f t="shared" ref="Q40:T40" si="16">Q38+Q32+Q33</f>
        <v>1803.3279920000002</v>
      </c>
      <c r="R40" s="321">
        <f t="shared" si="16"/>
        <v>1655.9945008187201</v>
      </c>
      <c r="S40" s="321">
        <f t="shared" si="16"/>
        <v>1708.8247640188451</v>
      </c>
      <c r="T40" s="321">
        <f t="shared" si="16"/>
        <v>1750.4713350946663</v>
      </c>
    </row>
    <row r="41" spans="1:20" x14ac:dyDescent="0.25">
      <c r="H41" s="326"/>
      <c r="I41" s="326"/>
      <c r="J41" s="326"/>
      <c r="K41" s="326"/>
      <c r="L41" s="326"/>
      <c r="M41" s="326"/>
      <c r="N41" s="326"/>
      <c r="O41" s="326"/>
      <c r="P41" s="326"/>
      <c r="Q41" s="326"/>
      <c r="R41" s="321"/>
      <c r="S41" s="321"/>
      <c r="T41" s="321"/>
    </row>
    <row r="42" spans="1:20" x14ac:dyDescent="0.25">
      <c r="H42" s="321"/>
      <c r="I42" s="321"/>
      <c r="J42" s="321"/>
      <c r="K42" s="321"/>
      <c r="L42" s="321"/>
      <c r="M42" s="321"/>
      <c r="N42" s="321"/>
      <c r="O42" s="321"/>
      <c r="P42" s="321"/>
      <c r="Q42" s="321"/>
      <c r="R42" s="321"/>
      <c r="S42" s="321"/>
      <c r="T42" s="321"/>
    </row>
    <row r="43" spans="1:20" x14ac:dyDescent="0.25">
      <c r="D43" s="315" t="s">
        <v>590</v>
      </c>
      <c r="H43" s="321"/>
      <c r="I43" s="321"/>
      <c r="J43" s="321"/>
      <c r="L43" s="321"/>
      <c r="M43" s="321"/>
      <c r="N43" s="321"/>
      <c r="O43" s="321"/>
      <c r="P43" s="321"/>
      <c r="Q43" s="364">
        <v>8.8000000000000007</v>
      </c>
      <c r="R43" s="364">
        <v>8.8000000000000007</v>
      </c>
      <c r="S43" s="364">
        <v>8.6999999999999993</v>
      </c>
      <c r="T43" s="364">
        <v>8.6</v>
      </c>
    </row>
    <row r="44" spans="1:20" ht="15.75" thickBot="1" x14ac:dyDescent="0.3">
      <c r="D44" s="327" t="s">
        <v>484</v>
      </c>
      <c r="E44" s="327"/>
      <c r="F44" s="327"/>
      <c r="G44" s="327"/>
      <c r="H44" s="343"/>
      <c r="I44" s="343"/>
      <c r="J44" s="343"/>
      <c r="K44" s="343"/>
      <c r="L44" s="343"/>
      <c r="M44" s="343"/>
      <c r="N44" s="343"/>
      <c r="O44" s="343"/>
      <c r="P44" s="343"/>
      <c r="Q44" s="365">
        <f>Q38/Q43</f>
        <v>18.324315795454602</v>
      </c>
      <c r="R44" s="354">
        <f>R38/R43</f>
        <v>22.729639177326558</v>
      </c>
      <c r="S44" s="354">
        <f t="shared" ref="S44:T44" si="17">S38/S43</f>
        <v>24.534599312434874</v>
      </c>
      <c r="T44" s="354">
        <f t="shared" si="17"/>
        <v>25.91105948210717</v>
      </c>
    </row>
    <row r="45" spans="1:20" x14ac:dyDescent="0.25">
      <c r="H45" s="321"/>
      <c r="I45" s="321"/>
      <c r="J45" s="321"/>
      <c r="K45" s="321"/>
      <c r="L45" s="321"/>
      <c r="M45" s="321"/>
      <c r="N45" s="321"/>
      <c r="O45" s="321"/>
      <c r="P45" s="321"/>
      <c r="Q45" s="321"/>
      <c r="R45" s="321"/>
      <c r="S45" s="321"/>
      <c r="T45" s="321"/>
    </row>
    <row r="46" spans="1:20" x14ac:dyDescent="0.25">
      <c r="H46" s="321"/>
      <c r="I46" s="321"/>
      <c r="J46" s="321"/>
      <c r="K46" s="321"/>
      <c r="R46" s="344"/>
      <c r="S46" s="344"/>
      <c r="T46" s="344"/>
    </row>
    <row r="47" spans="1:20" x14ac:dyDescent="0.25">
      <c r="H47" s="321"/>
      <c r="I47" s="321"/>
      <c r="J47" s="321"/>
      <c r="K47" s="321"/>
    </row>
    <row r="48" spans="1:20" s="331" customFormat="1" x14ac:dyDescent="0.25">
      <c r="A48" s="331" t="s">
        <v>531</v>
      </c>
      <c r="E48" s="332" t="s">
        <v>532</v>
      </c>
      <c r="F48" s="332" t="s">
        <v>533</v>
      </c>
    </row>
    <row r="49" spans="3:20" s="333" customFormat="1" x14ac:dyDescent="0.25">
      <c r="E49" s="334"/>
      <c r="F49" s="334"/>
    </row>
    <row r="50" spans="3:20" x14ac:dyDescent="0.25">
      <c r="C50" s="315" t="s">
        <v>534</v>
      </c>
      <c r="E50" s="335"/>
      <c r="F50" s="336"/>
      <c r="H50" s="335"/>
      <c r="I50" s="335"/>
      <c r="J50" s="335"/>
      <c r="K50" s="335"/>
      <c r="L50" s="335"/>
      <c r="M50" s="335"/>
      <c r="N50" s="335"/>
      <c r="O50" s="335"/>
      <c r="P50" s="335"/>
      <c r="Q50" s="335"/>
      <c r="R50" s="335"/>
      <c r="S50" s="335"/>
      <c r="T50" s="335"/>
    </row>
    <row r="51" spans="3:20" hidden="1" outlineLevel="1" x14ac:dyDescent="0.25">
      <c r="C51" s="315" t="s">
        <v>535</v>
      </c>
      <c r="H51" s="337">
        <f>IFERROR(#REF!/H17,0)</f>
        <v>0</v>
      </c>
      <c r="I51" s="337">
        <f>IFERROR(#REF!/I17,0)</f>
        <v>0</v>
      </c>
      <c r="J51" s="337">
        <f>IFERROR(#REF!/J17,0)</f>
        <v>0</v>
      </c>
      <c r="K51" s="337">
        <f>IFERROR(#REF!/K17,0)</f>
        <v>0</v>
      </c>
      <c r="L51" s="337">
        <f>IFERROR(#REF!/L17,0)</f>
        <v>0</v>
      </c>
      <c r="M51" s="324"/>
      <c r="N51" s="324"/>
      <c r="O51" s="324"/>
      <c r="P51" s="324"/>
      <c r="Q51" s="324"/>
    </row>
    <row r="52" spans="3:20" hidden="1" outlineLevel="1" x14ac:dyDescent="0.25">
      <c r="C52" s="315" t="s">
        <v>536</v>
      </c>
      <c r="H52" s="337" t="e">
        <f>#REF!/#REF!</f>
        <v>#REF!</v>
      </c>
      <c r="I52" s="337" t="e">
        <f>#REF!/#REF!</f>
        <v>#REF!</v>
      </c>
      <c r="J52" s="337" t="e">
        <f>#REF!/#REF!</f>
        <v>#REF!</v>
      </c>
      <c r="K52" s="337" t="e">
        <f>#REF!/#REF!</f>
        <v>#REF!</v>
      </c>
      <c r="L52" s="337" t="e">
        <f>#REF!/#REF!</f>
        <v>#REF!</v>
      </c>
      <c r="M52" s="324"/>
      <c r="N52" s="324"/>
      <c r="O52" s="324"/>
      <c r="P52" s="324"/>
      <c r="Q52" s="324"/>
    </row>
    <row r="53" spans="3:20" hidden="1" outlineLevel="1" x14ac:dyDescent="0.25">
      <c r="H53" s="338"/>
      <c r="I53" s="338"/>
      <c r="J53" s="338"/>
      <c r="K53" s="338"/>
      <c r="L53" s="338"/>
      <c r="M53" s="324"/>
      <c r="N53" s="324"/>
      <c r="O53" s="324"/>
      <c r="P53" s="324"/>
      <c r="Q53" s="324"/>
    </row>
    <row r="54" spans="3:20" hidden="1" outlineLevel="1" x14ac:dyDescent="0.25">
      <c r="C54" s="315" t="s">
        <v>537</v>
      </c>
      <c r="H54" s="326" t="e">
        <f>H26-#REF!</f>
        <v>#REF!</v>
      </c>
      <c r="I54" s="326">
        <f>I26-H26</f>
        <v>5.2220000000000013</v>
      </c>
      <c r="J54" s="326">
        <f>J26-I26</f>
        <v>2.7819980000000015</v>
      </c>
      <c r="K54" s="326">
        <f>K26-J26</f>
        <v>18.801997999999998</v>
      </c>
      <c r="L54" s="326">
        <f>L26-K26</f>
        <v>128.086006</v>
      </c>
      <c r="M54" s="330" t="e">
        <f>SUM(H54:L54)</f>
        <v>#REF!</v>
      </c>
      <c r="N54" s="324"/>
      <c r="O54" s="324"/>
      <c r="P54" s="324"/>
      <c r="Q54" s="324"/>
    </row>
    <row r="55" spans="3:20" hidden="1" outlineLevel="1" x14ac:dyDescent="0.25">
      <c r="C55" s="315" t="s">
        <v>538</v>
      </c>
      <c r="H55" s="326" t="e">
        <f>#REF!-#REF!</f>
        <v>#REF!</v>
      </c>
      <c r="I55" s="326" t="e">
        <f>#REF!-#REF!</f>
        <v>#REF!</v>
      </c>
      <c r="J55" s="326" t="e">
        <f>#REF!-#REF!</f>
        <v>#REF!</v>
      </c>
      <c r="K55" s="326" t="e">
        <f>#REF!-#REF!</f>
        <v>#REF!</v>
      </c>
      <c r="L55" s="326" t="e">
        <f>#REF!-#REF!</f>
        <v>#REF!</v>
      </c>
      <c r="M55" s="330" t="e">
        <f>SUM(H55:L55)</f>
        <v>#REF!</v>
      </c>
      <c r="N55" s="324"/>
      <c r="O55" s="324"/>
      <c r="P55" s="324"/>
      <c r="Q55" s="324"/>
    </row>
    <row r="56" spans="3:20" hidden="1" outlineLevel="1" x14ac:dyDescent="0.25">
      <c r="C56" s="315" t="s">
        <v>539</v>
      </c>
      <c r="H56" s="338" t="e">
        <f t="shared" ref="H56:M56" si="18">H54/H55</f>
        <v>#REF!</v>
      </c>
      <c r="I56" s="338" t="e">
        <f t="shared" si="18"/>
        <v>#REF!</v>
      </c>
      <c r="J56" s="338" t="e">
        <f t="shared" si="18"/>
        <v>#REF!</v>
      </c>
      <c r="K56" s="338" t="e">
        <f t="shared" si="18"/>
        <v>#REF!</v>
      </c>
      <c r="L56" s="338" t="e">
        <f t="shared" si="18"/>
        <v>#REF!</v>
      </c>
      <c r="M56" s="338" t="e">
        <f t="shared" si="18"/>
        <v>#REF!</v>
      </c>
      <c r="N56" s="324"/>
      <c r="O56" s="324"/>
      <c r="P56" s="324"/>
      <c r="Q56" s="324"/>
    </row>
    <row r="57" spans="3:20" hidden="1" outlineLevel="1" x14ac:dyDescent="0.25">
      <c r="C57" s="315" t="s">
        <v>540</v>
      </c>
      <c r="H57" s="338" t="e">
        <f>H54/#REF!</f>
        <v>#REF!</v>
      </c>
      <c r="I57" s="338" t="e">
        <f>I54/#REF!</f>
        <v>#REF!</v>
      </c>
      <c r="J57" s="338" t="e">
        <f>J54/#REF!</f>
        <v>#REF!</v>
      </c>
      <c r="K57" s="338" t="e">
        <f>K54/#REF!</f>
        <v>#REF!</v>
      </c>
      <c r="L57" s="338" t="e">
        <f>L54/#REF!</f>
        <v>#REF!</v>
      </c>
      <c r="M57" s="338"/>
      <c r="N57" s="324"/>
      <c r="O57" s="324"/>
      <c r="P57" s="324"/>
      <c r="Q57" s="324"/>
    </row>
    <row r="58" spans="3:20" collapsed="1" x14ac:dyDescent="0.25"/>
    <row r="59" spans="3:20" x14ac:dyDescent="0.25">
      <c r="C59" s="315" t="s">
        <v>542</v>
      </c>
      <c r="E59" s="284">
        <f t="shared" ref="E59:E64" si="19">AVERAGE(H59:Q59)</f>
        <v>2.3517560228799193</v>
      </c>
      <c r="F59" s="339">
        <v>1</v>
      </c>
      <c r="H59" s="340">
        <f t="shared" ref="H59:Q59" si="20">H14/H26</f>
        <v>3.3426726332767331</v>
      </c>
      <c r="I59" s="340">
        <f t="shared" si="20"/>
        <v>3.4513574987454505</v>
      </c>
      <c r="J59" s="340">
        <f t="shared" si="20"/>
        <v>4.5060362063462218</v>
      </c>
      <c r="K59" s="340">
        <f t="shared" si="20"/>
        <v>4.2378429000954538</v>
      </c>
      <c r="L59" s="340">
        <f t="shared" si="20"/>
        <v>1.9150460033581866</v>
      </c>
      <c r="M59" s="340">
        <f t="shared" si="20"/>
        <v>1.8680594638754997</v>
      </c>
      <c r="N59" s="340">
        <f t="shared" si="20"/>
        <v>1.5905484587894068</v>
      </c>
      <c r="O59" s="340">
        <f t="shared" si="20"/>
        <v>1.0638688715919233</v>
      </c>
      <c r="P59" s="340">
        <f t="shared" si="20"/>
        <v>0.82944364390236969</v>
      </c>
      <c r="Q59" s="340">
        <f t="shared" si="20"/>
        <v>0.71268454881794452</v>
      </c>
      <c r="R59" s="284">
        <v>0.97</v>
      </c>
      <c r="S59" s="284">
        <v>1.2</v>
      </c>
      <c r="T59" s="284">
        <v>1.1499999999999999</v>
      </c>
    </row>
    <row r="60" spans="3:20" x14ac:dyDescent="0.25">
      <c r="C60" s="315" t="s">
        <v>574</v>
      </c>
      <c r="E60" s="284">
        <f t="shared" si="19"/>
        <v>0.10335015246427423</v>
      </c>
      <c r="F60" s="339">
        <v>0.1</v>
      </c>
      <c r="H60" s="340">
        <f>H15/'API - BASE'!C23</f>
        <v>6.2655849701110169E-2</v>
      </c>
      <c r="I60" s="340">
        <f>I15/'API - BASE'!D23</f>
        <v>6.2768742562475208E-2</v>
      </c>
      <c r="J60" s="340">
        <f>J15/'API - BASE'!E23</f>
        <v>6.9490269026548673E-2</v>
      </c>
      <c r="K60" s="340">
        <f>K15/'API - BASE'!F23</f>
        <v>7.0919536124794735E-2</v>
      </c>
      <c r="L60" s="340">
        <f>L15/'API - BASE'!G23</f>
        <v>7.9283165627782731E-2</v>
      </c>
      <c r="M60" s="340">
        <f>M15/'API - BASE'!H23</f>
        <v>7.8102155576382393E-2</v>
      </c>
      <c r="N60" s="340">
        <f>N15/'API - BASE'!I23</f>
        <v>9.3643083680073971E-2</v>
      </c>
      <c r="O60" s="340">
        <f>O15/'API - BASE'!J23</f>
        <v>0.26050287238095238</v>
      </c>
      <c r="P60" s="340">
        <f>P15/'API - BASE'!K23</f>
        <v>0.18064404452690166</v>
      </c>
      <c r="Q60" s="340">
        <f>Q15/'API - BASE'!L23</f>
        <v>7.5491805435720455E-2</v>
      </c>
      <c r="R60" s="284">
        <v>0.08</v>
      </c>
      <c r="S60" s="284">
        <v>0.09</v>
      </c>
      <c r="T60" s="284">
        <v>0.1</v>
      </c>
    </row>
    <row r="61" spans="3:20" x14ac:dyDescent="0.25">
      <c r="C61" s="315" t="s">
        <v>575</v>
      </c>
      <c r="E61" s="284">
        <f t="shared" si="19"/>
        <v>5.0418401882464145E-2</v>
      </c>
      <c r="F61" s="339">
        <v>0.05</v>
      </c>
      <c r="H61" s="340">
        <f>H16/'API - BASE'!C23</f>
        <v>5.6071733561058927E-2</v>
      </c>
      <c r="I61" s="340">
        <f>I16/'API - BASE'!D23</f>
        <v>4.8758429194763982E-2</v>
      </c>
      <c r="J61" s="340">
        <f>J16/'API - BASE'!E23</f>
        <v>4.1720353982300881E-2</v>
      </c>
      <c r="K61" s="340">
        <f>K16/'API - BASE'!F23</f>
        <v>4.6691297208538589E-2</v>
      </c>
      <c r="L61" s="340">
        <f>L16/'API - BASE'!G23</f>
        <v>5.5498664292074798E-2</v>
      </c>
      <c r="M61" s="340">
        <f>M16/'API - BASE'!H23</f>
        <v>6.2502343017806924E-2</v>
      </c>
      <c r="N61" s="340">
        <f>N16/'API - BASE'!I23</f>
        <v>6.7951918631530286E-2</v>
      </c>
      <c r="O61" s="340">
        <f>O16/'API - BASE'!J23</f>
        <v>4.8636190476190472E-2</v>
      </c>
      <c r="P61" s="340">
        <f>P16/'API - BASE'!K23</f>
        <v>3.7720646700238537E-2</v>
      </c>
      <c r="Q61" s="340">
        <f>Q16/'API - BASE'!L23</f>
        <v>3.8632441760138046E-2</v>
      </c>
      <c r="R61" s="284">
        <f>F61</f>
        <v>0.05</v>
      </c>
      <c r="S61" s="284">
        <f>R61</f>
        <v>0.05</v>
      </c>
      <c r="T61" s="284">
        <v>0.05</v>
      </c>
    </row>
    <row r="62" spans="3:20" x14ac:dyDescent="0.25">
      <c r="C62" s="315" t="s">
        <v>576</v>
      </c>
      <c r="E62" s="284">
        <f>AVERAGE(L62:Q62)</f>
        <v>0.54258950263031591</v>
      </c>
      <c r="F62" s="339">
        <v>0.33</v>
      </c>
      <c r="H62" s="340">
        <f>H17/H26</f>
        <v>0</v>
      </c>
      <c r="I62" s="340">
        <f t="shared" ref="I62:Q62" si="21">I17/I26</f>
        <v>0</v>
      </c>
      <c r="J62" s="340">
        <f t="shared" si="21"/>
        <v>0</v>
      </c>
      <c r="K62" s="340">
        <f t="shared" si="21"/>
        <v>0</v>
      </c>
      <c r="L62" s="340">
        <f t="shared" si="21"/>
        <v>0.51921160673571687</v>
      </c>
      <c r="M62" s="340">
        <f t="shared" si="21"/>
        <v>0.59691406740779274</v>
      </c>
      <c r="N62" s="340">
        <f t="shared" si="21"/>
        <v>0.61797791907726929</v>
      </c>
      <c r="O62" s="340">
        <f t="shared" si="21"/>
        <v>0.40131213132987009</v>
      </c>
      <c r="P62" s="340">
        <f t="shared" si="21"/>
        <v>0.3231927319054208</v>
      </c>
      <c r="Q62" s="340">
        <f t="shared" si="21"/>
        <v>0.79692855932582551</v>
      </c>
      <c r="R62" s="284">
        <v>0.75</v>
      </c>
      <c r="S62" s="284">
        <v>0.75</v>
      </c>
      <c r="T62" s="284">
        <v>0.75</v>
      </c>
    </row>
    <row r="63" spans="3:20" x14ac:dyDescent="0.25">
      <c r="C63" s="315" t="s">
        <v>577</v>
      </c>
      <c r="E63" s="284">
        <f t="shared" si="19"/>
        <v>9.2388799262088664E-2</v>
      </c>
      <c r="F63" s="339">
        <v>0.09</v>
      </c>
      <c r="H63" s="340">
        <f>H18/'API - BASE'!C23</f>
        <v>6.0081127241673783E-2</v>
      </c>
      <c r="I63" s="340">
        <f>I18/'API - BASE'!D23</f>
        <v>5.9555731852439509E-2</v>
      </c>
      <c r="J63" s="340">
        <f>J18/'API - BASE'!E23</f>
        <v>6.5847784070796458E-2</v>
      </c>
      <c r="K63" s="340">
        <f>K18/'API - BASE'!F23</f>
        <v>6.8304597701149425E-2</v>
      </c>
      <c r="L63" s="340">
        <f>L18/'API - BASE'!G23</f>
        <v>7.4407836153161169E-2</v>
      </c>
      <c r="M63" s="340">
        <f>M18/'API - BASE'!H23</f>
        <v>7.7352389878163078E-2</v>
      </c>
      <c r="N63" s="340">
        <f>N18/'API - BASE'!I23</f>
        <v>0.10015256588072122</v>
      </c>
      <c r="O63" s="340">
        <f>O18/'API - BASE'!J23</f>
        <v>0.16707810285714286</v>
      </c>
      <c r="P63" s="340">
        <f>P18/'API - BASE'!K23</f>
        <v>0.15291545189504374</v>
      </c>
      <c r="Q63" s="340">
        <f>Q18/'API - BASE'!L23</f>
        <v>9.8192405090595333E-2</v>
      </c>
      <c r="R63" s="284">
        <f>F63</f>
        <v>0.09</v>
      </c>
      <c r="S63" s="284">
        <f>R63</f>
        <v>0.09</v>
      </c>
      <c r="T63" s="284">
        <f t="shared" ref="T63" si="22">S63</f>
        <v>0.09</v>
      </c>
    </row>
    <row r="64" spans="3:20" x14ac:dyDescent="0.25">
      <c r="C64" s="315" t="s">
        <v>578</v>
      </c>
      <c r="E64" s="284">
        <f t="shared" si="19"/>
        <v>0.11186570384205077</v>
      </c>
      <c r="F64" s="339">
        <f>E64</f>
        <v>0.11186570384205077</v>
      </c>
      <c r="H64" s="340">
        <f>H19/'API - BASE'!C23</f>
        <v>0.11983774551665244</v>
      </c>
      <c r="I64" s="340">
        <f>I19/'API - BASE'!D23</f>
        <v>0.13524792145973821</v>
      </c>
      <c r="J64" s="340">
        <f>J19/'API - BASE'!E23</f>
        <v>0.14423717522123894</v>
      </c>
      <c r="K64" s="340">
        <f>K19/'API - BASE'!F23</f>
        <v>0.10079639162561577</v>
      </c>
      <c r="L64" s="340">
        <f>L19/'API - BASE'!G23</f>
        <v>9.9225284951024048E-2</v>
      </c>
      <c r="M64" s="340">
        <f>M19/'API - BASE'!H23</f>
        <v>8.4029985941893162E-2</v>
      </c>
      <c r="N64" s="340">
        <f>N19/'API - BASE'!I23</f>
        <v>8.313915857605178E-2</v>
      </c>
      <c r="O64" s="340">
        <f>O19/'API - BASE'!J23</f>
        <v>0.13857523428571428</v>
      </c>
      <c r="P64" s="340">
        <f>P19/'API - BASE'!K23</f>
        <v>6.9851576994434131E-2</v>
      </c>
      <c r="Q64" s="340">
        <f>Q19/'API - BASE'!L23</f>
        <v>0.14371656384814493</v>
      </c>
      <c r="R64" s="284">
        <v>0.14000000000000001</v>
      </c>
      <c r="S64" s="284">
        <f>R64</f>
        <v>0.14000000000000001</v>
      </c>
      <c r="T64" s="284">
        <f>S64</f>
        <v>0.14000000000000001</v>
      </c>
    </row>
    <row r="65" spans="3:21" x14ac:dyDescent="0.25">
      <c r="C65" s="315" t="s">
        <v>579</v>
      </c>
      <c r="E65" s="284">
        <f>AVERAGE(H65:Q65)</f>
        <v>1.1737191815973351</v>
      </c>
      <c r="F65" s="339">
        <v>1</v>
      </c>
      <c r="H65" s="340">
        <f>H13/'API - BASE'!C23</f>
        <v>1.2527669086251068</v>
      </c>
      <c r="I65" s="340">
        <f>I13/'API - BASE'!D23</f>
        <v>1.2471875644585482</v>
      </c>
      <c r="J65" s="340">
        <f>J13/'API - BASE'!E23</f>
        <v>0.94774515752212385</v>
      </c>
      <c r="K65" s="340">
        <f>K13/'API - BASE'!F23</f>
        <v>1.1516051149425288</v>
      </c>
      <c r="L65" s="340">
        <f>L13/'API - BASE'!G23</f>
        <v>1.1392876357969726</v>
      </c>
      <c r="M65" s="340">
        <f>M13/'API - BASE'!H23</f>
        <v>1.1221086832239924</v>
      </c>
      <c r="N65" s="340">
        <f>N13/'API - BASE'!I23</f>
        <v>1.0597226167360148</v>
      </c>
      <c r="O65" s="340">
        <f>O13/'API - BASE'!J23</f>
        <v>1.6432038209523809</v>
      </c>
      <c r="P65" s="340">
        <f>P13/'API - BASE'!K23</f>
        <v>1.6669573098330241</v>
      </c>
      <c r="Q65" s="340">
        <f>Q13/'API - BASE'!L23</f>
        <v>0.50660700388265745</v>
      </c>
      <c r="R65" s="284">
        <f>R13/'API - BASE'!M23</f>
        <v>0.5234171108977359</v>
      </c>
      <c r="S65" s="284">
        <f>S13/'API - BASE'!N23</f>
        <v>0.45147180266423564</v>
      </c>
      <c r="T65" s="284">
        <f>T13/'API - BASE'!O23</f>
        <v>0.50300239476094544</v>
      </c>
    </row>
    <row r="66" spans="3:21" x14ac:dyDescent="0.25">
      <c r="E66" s="284"/>
      <c r="F66" s="339"/>
      <c r="H66" s="340"/>
      <c r="I66" s="340"/>
      <c r="J66" s="340"/>
      <c r="K66" s="340"/>
      <c r="L66" s="340"/>
      <c r="M66" s="340"/>
      <c r="N66" s="340"/>
      <c r="O66" s="340"/>
      <c r="P66" s="340"/>
      <c r="Q66" s="340"/>
      <c r="R66" s="284"/>
      <c r="S66" s="284"/>
      <c r="T66" s="284"/>
    </row>
    <row r="67" spans="3:21" collapsed="1" x14ac:dyDescent="0.25">
      <c r="C67" s="315" t="s">
        <v>541</v>
      </c>
      <c r="E67" s="284">
        <f>AVERAGE(H67:Q67)</f>
        <v>0.78598177508721023</v>
      </c>
      <c r="F67" s="339">
        <v>1</v>
      </c>
      <c r="H67" s="340">
        <f>H26/'API - BASE'!B23</f>
        <v>0.27719543781725886</v>
      </c>
      <c r="I67" s="340">
        <f>I26/'API - BASE'!C23</f>
        <v>0.20883006404782237</v>
      </c>
      <c r="J67" s="340">
        <f>J26/'API - BASE'!D23</f>
        <v>0.20503767949226498</v>
      </c>
      <c r="K67" s="340">
        <f>K26/'API - BASE'!E23</f>
        <v>0.24952919292035397</v>
      </c>
      <c r="L67" s="340">
        <f>L26/'API - BASE'!F23</f>
        <v>0.81518063628899839</v>
      </c>
      <c r="M67" s="340">
        <f>M26/'API - BASE'!G23</f>
        <v>0.92424754674977738</v>
      </c>
      <c r="N67" s="340">
        <f>N26/'API - BASE'!H23</f>
        <v>1.0060778163074038</v>
      </c>
      <c r="O67" s="340">
        <f>O26/'API - BASE'!I23</f>
        <v>0.98090155339805818</v>
      </c>
      <c r="P67" s="340">
        <f>P26/'API - BASE'!J23</f>
        <v>0.90348568761904768</v>
      </c>
      <c r="Q67" s="340">
        <f>Q26/'API - BASE'!K23</f>
        <v>2.2893321362311156</v>
      </c>
      <c r="R67" s="284">
        <v>1.25</v>
      </c>
      <c r="S67" s="284">
        <v>0.79</v>
      </c>
      <c r="T67" s="284">
        <v>0.79</v>
      </c>
    </row>
    <row r="68" spans="3:21" x14ac:dyDescent="0.25">
      <c r="C68" s="315" t="s">
        <v>580</v>
      </c>
      <c r="E68" s="284">
        <f>AVERAGE(H68:Q68)</f>
        <v>0.80708771750777475</v>
      </c>
      <c r="F68" s="339">
        <v>0.81</v>
      </c>
      <c r="H68" s="340">
        <f>H27/'API - BASE'!C23</f>
        <v>0.73401792485055506</v>
      </c>
      <c r="I68" s="340">
        <f>I27/'API - BASE'!D23</f>
        <v>0.84915112653708846</v>
      </c>
      <c r="J68" s="340">
        <f>J27/'API - BASE'!E23</f>
        <v>0.66297342654867264</v>
      </c>
      <c r="K68" s="340">
        <f>K27/'API - BASE'!F23</f>
        <v>0.7216871674876848</v>
      </c>
      <c r="L68" s="340">
        <f>L27/'API - BASE'!G23</f>
        <v>0.7341762956366874</v>
      </c>
      <c r="M68" s="340">
        <f>M27/'API - BASE'!H23</f>
        <v>0.73912373008434862</v>
      </c>
      <c r="N68" s="340">
        <f>N27/'API - BASE'!I23</f>
        <v>0.83755429496070266</v>
      </c>
      <c r="O68" s="340">
        <f>O27/'API - BASE'!J23</f>
        <v>1.0262818552380952</v>
      </c>
      <c r="P68" s="340">
        <f>P27/'API - BASE'!K23</f>
        <v>0.97202223164590507</v>
      </c>
      <c r="Q68" s="340">
        <f>Q27/'API - BASE'!L23</f>
        <v>0.79388912208800677</v>
      </c>
      <c r="R68" s="284">
        <v>0.79</v>
      </c>
      <c r="S68" s="284">
        <v>0.79</v>
      </c>
      <c r="T68" s="284">
        <f t="shared" ref="T68" si="23">S68</f>
        <v>0.79</v>
      </c>
    </row>
    <row r="69" spans="3:21" x14ac:dyDescent="0.25">
      <c r="C69" s="315" t="s">
        <v>586</v>
      </c>
      <c r="E69" s="284">
        <f>AVERAGE(H69:Q69)</f>
        <v>0.19709149828598821</v>
      </c>
      <c r="F69" s="339">
        <v>0.2</v>
      </c>
      <c r="H69" s="340">
        <f>H29/H23</f>
        <v>0.24117069704947794</v>
      </c>
      <c r="I69" s="340">
        <f t="shared" ref="I69:Q69" si="24">I29/I23</f>
        <v>0.21031581918795497</v>
      </c>
      <c r="J69" s="340">
        <f t="shared" si="24"/>
        <v>0.20318970614007867</v>
      </c>
      <c r="K69" s="340">
        <f t="shared" si="24"/>
        <v>0.2072384188546523</v>
      </c>
      <c r="L69" s="340">
        <f t="shared" si="24"/>
        <v>0.2823758379372292</v>
      </c>
      <c r="M69" s="340">
        <f t="shared" si="24"/>
        <v>0.30034951547282418</v>
      </c>
      <c r="N69" s="340">
        <f t="shared" si="24"/>
        <v>0.20395361451477967</v>
      </c>
      <c r="O69" s="340">
        <f t="shared" si="24"/>
        <v>0.16626881954772188</v>
      </c>
      <c r="P69" s="340">
        <f t="shared" si="24"/>
        <v>3.8665702213034905E-2</v>
      </c>
      <c r="Q69" s="340">
        <f t="shared" si="24"/>
        <v>0.11738685194212854</v>
      </c>
      <c r="R69" s="284">
        <v>0.12</v>
      </c>
      <c r="S69" s="284">
        <f>R69</f>
        <v>0.12</v>
      </c>
      <c r="T69" s="284">
        <f>S69</f>
        <v>0.12</v>
      </c>
    </row>
    <row r="70" spans="3:21" x14ac:dyDescent="0.25">
      <c r="C70" s="315" t="s">
        <v>235</v>
      </c>
      <c r="H70" s="466">
        <v>6.8880000000000052</v>
      </c>
      <c r="I70" s="466">
        <v>14.114999999999981</v>
      </c>
      <c r="J70" s="466">
        <v>8.1329999999999814</v>
      </c>
      <c r="K70" s="468">
        <v>19.169999999999987</v>
      </c>
      <c r="L70" s="466">
        <v>21.272999999999996</v>
      </c>
      <c r="M70" s="466">
        <v>17.972000000000008</v>
      </c>
      <c r="N70" s="466">
        <v>26.462999999999994</v>
      </c>
      <c r="O70" s="466">
        <v>11.579000000000008</v>
      </c>
      <c r="P70" s="466">
        <v>27.824999999999989</v>
      </c>
      <c r="Q70" s="466">
        <v>35.962999999999965</v>
      </c>
      <c r="R70" s="465">
        <v>39.5593</v>
      </c>
      <c r="S70" s="465">
        <v>37.581334999999967</v>
      </c>
      <c r="T70" s="465">
        <v>33.823201499999975</v>
      </c>
      <c r="U70" s="449"/>
    </row>
    <row r="71" spans="3:21" x14ac:dyDescent="0.25">
      <c r="C71" s="315" t="s">
        <v>742</v>
      </c>
      <c r="H71" s="467">
        <f t="shared" ref="H71:T71" si="25">H70/H14</f>
        <v>4.7169036075273271E-2</v>
      </c>
      <c r="I71" s="467">
        <f t="shared" si="25"/>
        <v>8.3620165608093905E-2</v>
      </c>
      <c r="J71" s="467">
        <f t="shared" si="25"/>
        <v>3.4918016957001259E-2</v>
      </c>
      <c r="K71" s="467">
        <f t="shared" si="25"/>
        <v>6.4170798846006141E-2</v>
      </c>
      <c r="L71" s="467">
        <f t="shared" si="25"/>
        <v>5.5939475512287506E-2</v>
      </c>
      <c r="M71" s="467">
        <f t="shared" si="25"/>
        <v>4.6345508863088629E-2</v>
      </c>
      <c r="N71" s="467">
        <f t="shared" si="25"/>
        <v>7.7493661877644435E-2</v>
      </c>
      <c r="O71" s="467">
        <f t="shared" si="25"/>
        <v>5.1298068176067427E-2</v>
      </c>
      <c r="P71" s="467">
        <f t="shared" si="25"/>
        <v>0.14144829100878506</v>
      </c>
      <c r="Q71" s="467">
        <f t="shared" si="25"/>
        <v>5.8420189294863721E-2</v>
      </c>
      <c r="R71" s="464">
        <f t="shared" si="25"/>
        <v>6.3947908097721662E-2</v>
      </c>
      <c r="S71" s="464">
        <f t="shared" si="25"/>
        <v>5.8863953330826516E-2</v>
      </c>
      <c r="T71" s="464">
        <f t="shared" si="25"/>
        <v>5.4733594143170583E-2</v>
      </c>
      <c r="U71" s="449"/>
    </row>
    <row r="72" spans="3:21" x14ac:dyDescent="0.25">
      <c r="E72" s="284"/>
      <c r="F72" s="339"/>
      <c r="H72" s="448"/>
      <c r="J72" s="449"/>
      <c r="K72" s="449"/>
      <c r="L72" s="449"/>
      <c r="M72" s="449"/>
      <c r="N72" s="449"/>
      <c r="O72" s="449"/>
      <c r="P72" s="449"/>
      <c r="Q72" s="449"/>
      <c r="R72" s="449"/>
      <c r="S72" s="449"/>
      <c r="T72" s="449"/>
      <c r="U72" s="449"/>
    </row>
    <row r="73" spans="3:21" x14ac:dyDescent="0.25">
      <c r="E73" s="284"/>
      <c r="F73" s="339"/>
      <c r="H73" s="448"/>
      <c r="J73" s="449"/>
      <c r="K73" s="449"/>
      <c r="L73" s="449"/>
      <c r="M73" s="449"/>
      <c r="N73" s="449"/>
      <c r="O73" s="449"/>
      <c r="P73" s="449"/>
      <c r="Q73" s="449"/>
      <c r="R73" s="449"/>
      <c r="S73" s="449"/>
      <c r="T73" s="449"/>
      <c r="U73" s="449"/>
    </row>
    <row r="74" spans="3:21" x14ac:dyDescent="0.25">
      <c r="E74" s="284"/>
      <c r="F74" s="339"/>
      <c r="H74" s="448"/>
      <c r="J74" s="449"/>
      <c r="K74" s="449"/>
      <c r="L74" s="449"/>
      <c r="M74" s="449"/>
      <c r="N74" s="449"/>
      <c r="O74" s="449"/>
      <c r="P74" s="449"/>
      <c r="Q74" s="449"/>
      <c r="R74" s="449"/>
      <c r="S74" s="449"/>
      <c r="T74" s="449"/>
      <c r="U74" s="449"/>
    </row>
  </sheetData>
  <conditionalFormatting sqref="A1:XFD42 A43:J43 L43:XFD43 A44:XFD57 A59:XFD74 A75:B76 M75:XFD78 A77:L78 A79:XFD1048576">
    <cfRule type="containsText" dxfId="9" priority="7" operator="containsText" text="FALSE">
      <formula>NOT(ISERROR(SEARCH("FALSE",A1)))</formula>
    </cfRule>
    <cfRule type="cellIs" dxfId="8" priority="8" operator="equal">
      <formula>TRUE</formula>
    </cfRule>
  </conditionalFormatting>
  <pageMargins left="0.7" right="0.7" top="0.75" bottom="0.75" header="0.3" footer="0.3"/>
  <pageSetup orientation="portrait" verticalDpi="0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67585" r:id="rId4" name="Check Box 1">
              <controlPr defaultSize="0" autoFill="0" autoLine="0" autoPict="0" macro="[1]!CheckBox2_Click">
                <anchor moveWithCells="1">
                  <from>
                    <xdr:col>6</xdr:col>
                    <xdr:colOff>676275</xdr:colOff>
                    <xdr:row>3</xdr:row>
                    <xdr:rowOff>85725</xdr:rowOff>
                  </from>
                  <to>
                    <xdr:col>7</xdr:col>
                    <xdr:colOff>600075</xdr:colOff>
                    <xdr:row>4</xdr:row>
                    <xdr:rowOff>142875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6AB618-6801-4DB6-89A0-8587B6369310}">
  <dimension ref="A1:T71"/>
  <sheetViews>
    <sheetView zoomScale="60" zoomScaleNormal="60" workbookViewId="0"/>
  </sheetViews>
  <sheetFormatPr defaultColWidth="8.85546875" defaultRowHeight="15" outlineLevelRow="1" outlineLevelCol="1" x14ac:dyDescent="0.25"/>
  <cols>
    <col min="1" max="1" width="1.140625" style="315" customWidth="1"/>
    <col min="2" max="2" width="3.85546875" style="315" customWidth="1"/>
    <col min="3" max="3" width="3.42578125" style="315" customWidth="1"/>
    <col min="4" max="4" width="50.140625" style="315" customWidth="1"/>
    <col min="5" max="7" width="13.5703125" style="315" customWidth="1" outlineLevel="1"/>
    <col min="8" max="10" width="14.5703125" style="315" customWidth="1"/>
    <col min="11" max="12" width="15" style="315" customWidth="1"/>
    <col min="13" max="20" width="15.85546875" style="315" customWidth="1"/>
    <col min="21" max="16384" width="8.85546875" style="315"/>
  </cols>
  <sheetData>
    <row r="1" spans="1:20" x14ac:dyDescent="0.25">
      <c r="E1" s="315" t="s">
        <v>512</v>
      </c>
      <c r="F1" s="316" t="b">
        <v>1</v>
      </c>
    </row>
    <row r="2" spans="1:20" x14ac:dyDescent="0.25">
      <c r="B2" s="316" t="e">
        <v>#REF!</v>
      </c>
      <c r="E2" s="315" t="s">
        <v>513</v>
      </c>
      <c r="F2" s="317">
        <v>1</v>
      </c>
      <c r="H2" s="318">
        <v>41275</v>
      </c>
      <c r="I2" s="318">
        <v>41640</v>
      </c>
      <c r="J2" s="318">
        <v>42005</v>
      </c>
      <c r="K2" s="318">
        <v>42370</v>
      </c>
      <c r="L2" s="318">
        <v>42736</v>
      </c>
      <c r="M2" s="319">
        <f>L3+1</f>
        <v>43101</v>
      </c>
      <c r="N2" s="319">
        <f t="shared" ref="N2:T2" si="0">M3+1</f>
        <v>43466</v>
      </c>
      <c r="O2" s="319">
        <f t="shared" si="0"/>
        <v>43831</v>
      </c>
      <c r="P2" s="319">
        <f t="shared" si="0"/>
        <v>44197</v>
      </c>
      <c r="Q2" s="319">
        <f t="shared" si="0"/>
        <v>44562</v>
      </c>
      <c r="R2" s="319">
        <f t="shared" si="0"/>
        <v>44927</v>
      </c>
      <c r="S2" s="319">
        <f t="shared" si="0"/>
        <v>45292</v>
      </c>
      <c r="T2" s="319">
        <f t="shared" si="0"/>
        <v>45658</v>
      </c>
    </row>
    <row r="3" spans="1:20" x14ac:dyDescent="0.25">
      <c r="B3" s="315" t="s">
        <v>514</v>
      </c>
      <c r="E3" s="315" t="s">
        <v>515</v>
      </c>
      <c r="F3" s="320">
        <v>2012</v>
      </c>
      <c r="H3" s="318">
        <v>41639</v>
      </c>
      <c r="I3" s="318">
        <v>42004</v>
      </c>
      <c r="J3" s="318">
        <v>42369</v>
      </c>
      <c r="K3" s="318">
        <v>42735</v>
      </c>
      <c r="L3" s="318">
        <v>43100</v>
      </c>
      <c r="M3" s="319">
        <f>EDATE(M2,12)-1</f>
        <v>43465</v>
      </c>
      <c r="N3" s="319">
        <f t="shared" ref="N3:T3" si="1">EDATE(N2,12)-1</f>
        <v>43830</v>
      </c>
      <c r="O3" s="319">
        <f t="shared" si="1"/>
        <v>44196</v>
      </c>
      <c r="P3" s="319">
        <f t="shared" si="1"/>
        <v>44561</v>
      </c>
      <c r="Q3" s="319">
        <f t="shared" si="1"/>
        <v>44926</v>
      </c>
      <c r="R3" s="319">
        <f t="shared" si="1"/>
        <v>45291</v>
      </c>
      <c r="S3" s="319">
        <f t="shared" si="1"/>
        <v>45657</v>
      </c>
      <c r="T3" s="319">
        <f t="shared" si="1"/>
        <v>46022</v>
      </c>
    </row>
    <row r="4" spans="1:20" x14ac:dyDescent="0.25">
      <c r="C4" s="315" t="s">
        <v>516</v>
      </c>
      <c r="E4" s="315" t="s">
        <v>517</v>
      </c>
      <c r="F4" s="316">
        <v>2016</v>
      </c>
      <c r="H4" s="316" t="b">
        <v>1</v>
      </c>
      <c r="I4" s="316" t="b">
        <v>1</v>
      </c>
      <c r="J4" s="316" t="b">
        <v>1</v>
      </c>
      <c r="K4" s="316" t="b">
        <v>1</v>
      </c>
      <c r="L4" s="316" t="b">
        <v>0</v>
      </c>
    </row>
    <row r="5" spans="1:20" x14ac:dyDescent="0.25">
      <c r="C5" s="315" t="s">
        <v>518</v>
      </c>
      <c r="F5" s="318">
        <v>42735</v>
      </c>
      <c r="H5" s="316" t="b">
        <v>0</v>
      </c>
      <c r="I5" s="316" t="b">
        <v>0</v>
      </c>
      <c r="J5" s="316" t="b">
        <v>0</v>
      </c>
      <c r="K5" s="316" t="b">
        <v>0</v>
      </c>
      <c r="L5" s="316" t="b">
        <v>1</v>
      </c>
    </row>
    <row r="6" spans="1:20" x14ac:dyDescent="0.25">
      <c r="C6" s="315" t="s">
        <v>519</v>
      </c>
      <c r="E6" s="315" t="s">
        <v>520</v>
      </c>
      <c r="F6" s="316">
        <v>2017</v>
      </c>
      <c r="H6" s="316" t="b">
        <v>1</v>
      </c>
      <c r="I6" s="316" t="b">
        <v>1</v>
      </c>
      <c r="J6" s="316" t="b">
        <v>1</v>
      </c>
      <c r="K6" s="316" t="b">
        <v>1</v>
      </c>
      <c r="L6" s="316" t="b">
        <v>1</v>
      </c>
    </row>
    <row r="7" spans="1:20" x14ac:dyDescent="0.25">
      <c r="H7" s="321"/>
      <c r="I7" s="321"/>
      <c r="J7" s="321"/>
      <c r="K7" s="321"/>
    </row>
    <row r="8" spans="1:20" s="322" customFormat="1" x14ac:dyDescent="0.25">
      <c r="A8" s="322" t="s">
        <v>504</v>
      </c>
    </row>
    <row r="9" spans="1:20" x14ac:dyDescent="0.25">
      <c r="B9" s="315" t="s">
        <v>521</v>
      </c>
    </row>
    <row r="10" spans="1:20" x14ac:dyDescent="0.25">
      <c r="B10" s="319" t="s">
        <v>522</v>
      </c>
      <c r="H10" s="315" t="s">
        <v>524</v>
      </c>
      <c r="I10" s="315" t="s">
        <v>525</v>
      </c>
      <c r="J10" s="315" t="s">
        <v>526</v>
      </c>
      <c r="K10" s="315" t="s">
        <v>527</v>
      </c>
    </row>
    <row r="11" spans="1:20" x14ac:dyDescent="0.25">
      <c r="B11" s="315" t="s">
        <v>523</v>
      </c>
      <c r="H11" s="323">
        <v>2013</v>
      </c>
      <c r="I11" s="323">
        <v>2014</v>
      </c>
      <c r="J11" s="323">
        <v>2015</v>
      </c>
      <c r="K11" s="323">
        <v>2016</v>
      </c>
      <c r="L11" s="323">
        <v>2017</v>
      </c>
      <c r="M11" s="324">
        <v>2018</v>
      </c>
      <c r="N11" s="324">
        <v>2019</v>
      </c>
      <c r="O11" s="324">
        <v>2020</v>
      </c>
      <c r="P11" s="324">
        <v>2021</v>
      </c>
      <c r="Q11" s="324">
        <v>2022</v>
      </c>
      <c r="R11" s="325" t="s">
        <v>571</v>
      </c>
      <c r="S11" s="325" t="s">
        <v>572</v>
      </c>
      <c r="T11" s="325" t="s">
        <v>573</v>
      </c>
    </row>
    <row r="12" spans="1:20" x14ac:dyDescent="0.25">
      <c r="C12" s="315" t="s">
        <v>505</v>
      </c>
      <c r="H12" s="323"/>
      <c r="I12" s="323"/>
      <c r="J12" s="323"/>
      <c r="K12" s="323"/>
      <c r="L12" s="324"/>
      <c r="M12" s="324"/>
      <c r="N12" s="324"/>
      <c r="O12" s="324"/>
      <c r="P12" s="324"/>
      <c r="Q12" s="324"/>
    </row>
    <row r="13" spans="1:20" x14ac:dyDescent="0.25">
      <c r="D13" s="315" t="s">
        <v>506</v>
      </c>
      <c r="H13" s="326">
        <f>'HCI BS Data'!B24</f>
        <v>293.39801</v>
      </c>
      <c r="I13" s="326">
        <f>'HCI BS Data'!C24</f>
        <v>314.41598499999998</v>
      </c>
      <c r="J13" s="326">
        <f>'HCI BS Data'!D24</f>
        <v>267.73800699999998</v>
      </c>
      <c r="K13" s="326">
        <f>'HCI BS Data'!E24</f>
        <v>280.53100599999999</v>
      </c>
      <c r="L13" s="326">
        <f>'HCI BS Data'!F24</f>
        <v>255.88400300000001</v>
      </c>
      <c r="M13" s="326">
        <f>'HCI BS Data'!G24</f>
        <v>239.45799299999999</v>
      </c>
      <c r="N13" s="326">
        <f>'HCI BS Data'!H24</f>
        <v>229.21800200000001</v>
      </c>
      <c r="O13" s="326">
        <f>'HCI BS Data'!I24</f>
        <v>431.341003</v>
      </c>
      <c r="P13" s="326">
        <f>'HCI BS Data'!J24</f>
        <v>628.942993</v>
      </c>
      <c r="Q13" s="326">
        <f>'HCI BS Data'!K24</f>
        <v>234.86300700000001</v>
      </c>
      <c r="R13" s="329">
        <f>Q13+'API - BULL'!M128</f>
        <v>268.74692203435598</v>
      </c>
      <c r="S13" s="329">
        <f>R13+'API - BULL'!N128</f>
        <v>320.83943187661771</v>
      </c>
      <c r="T13" s="329">
        <f>S13+'API - BULL'!O128</f>
        <v>376.08554842099255</v>
      </c>
    </row>
    <row r="14" spans="1:20" ht="15.75" thickBot="1" x14ac:dyDescent="0.3">
      <c r="D14" s="327" t="s">
        <v>507</v>
      </c>
      <c r="E14" s="327"/>
      <c r="F14" s="327"/>
      <c r="G14" s="327"/>
      <c r="H14" s="328">
        <f>'HCI BS Data'!B11</f>
        <v>146.02799999999999</v>
      </c>
      <c r="I14" s="328">
        <f>'HCI BS Data'!C11</f>
        <v>168.79899599999999</v>
      </c>
      <c r="J14" s="328">
        <f>'HCI BS Data'!D11</f>
        <v>232.91700700000001</v>
      </c>
      <c r="K14" s="328">
        <f>'HCI BS Data'!E11</f>
        <v>298.73400900000001</v>
      </c>
      <c r="L14" s="328">
        <f>'HCI BS Data'!F11</f>
        <v>380.28601099999997</v>
      </c>
      <c r="M14" s="328">
        <f>'HCI BS Data'!G11</f>
        <v>387.78298999999998</v>
      </c>
      <c r="N14" s="328">
        <f>'HCI BS Data'!H11</f>
        <v>341.48599200000001</v>
      </c>
      <c r="O14" s="328">
        <f>'HCI BS Data'!I11</f>
        <v>225.720001</v>
      </c>
      <c r="P14" s="328">
        <f>'HCI BS Data'!J11</f>
        <v>196.71499600000001</v>
      </c>
      <c r="Q14" s="328">
        <f>'HCI BS Data'!K11</f>
        <v>615.59198000000004</v>
      </c>
      <c r="R14" s="353">
        <f>R26*R57</f>
        <v>611.37041760000011</v>
      </c>
      <c r="S14" s="353">
        <f>S26*S57</f>
        <v>747.54513377280023</v>
      </c>
      <c r="T14" s="353">
        <f>T26*T57</f>
        <v>706.43015141529634</v>
      </c>
    </row>
    <row r="15" spans="1:20" x14ac:dyDescent="0.25">
      <c r="D15" s="315" t="s">
        <v>508</v>
      </c>
      <c r="H15" s="326">
        <f>'HCI BS Data'!B28</f>
        <v>14.673999999999999</v>
      </c>
      <c r="I15" s="326">
        <f>'HCI BS Data'!C28</f>
        <v>15.824</v>
      </c>
      <c r="J15" s="326">
        <f>'HCI BS Data'!D28</f>
        <v>19.631001000000001</v>
      </c>
      <c r="K15" s="326">
        <f>'HCI BS Data'!E28</f>
        <v>17.275998999999999</v>
      </c>
      <c r="L15" s="326">
        <f>'HCI BS Data'!F28</f>
        <v>17.806999000000001</v>
      </c>
      <c r="M15" s="326">
        <f>'HCI BS Data'!G28</f>
        <v>16.667000000000002</v>
      </c>
      <c r="N15" s="326">
        <f>'HCI BS Data'!H28</f>
        <v>20.254999000000002</v>
      </c>
      <c r="O15" s="326">
        <f>'HCI BS Data'!I28</f>
        <v>68.382003999999995</v>
      </c>
      <c r="P15" s="326">
        <f>'HCI BS Data'!J28</f>
        <v>68.156998000000002</v>
      </c>
      <c r="Q15" s="326">
        <f>'HCI BS Data'!K28</f>
        <v>34.998001000000002</v>
      </c>
      <c r="R15" s="329">
        <f>'API - BULL'!M23*R58</f>
        <v>51.483824640000016</v>
      </c>
      <c r="S15" s="329">
        <f>'API - BULL'!N23*S58</f>
        <v>74.75451337728002</v>
      </c>
      <c r="T15" s="329">
        <f>'API - BULL'!O23*T58</f>
        <v>85.627897141248013</v>
      </c>
    </row>
    <row r="16" spans="1:20" x14ac:dyDescent="0.25">
      <c r="D16" s="315" t="s">
        <v>528</v>
      </c>
      <c r="H16" s="326">
        <f>'HCI BS Data'!B37</f>
        <v>13.132</v>
      </c>
      <c r="I16" s="326">
        <f>'HCI BS Data'!C37</f>
        <v>12.292</v>
      </c>
      <c r="J16" s="326">
        <f>'HCI BS Data'!D37</f>
        <v>11.786</v>
      </c>
      <c r="K16" s="326">
        <f>'HCI BS Data'!E37</f>
        <v>11.374000000000001</v>
      </c>
      <c r="L16" s="326">
        <f>'HCI BS Data'!F37</f>
        <v>12.465</v>
      </c>
      <c r="M16" s="326">
        <f>'HCI BS Data'!G37</f>
        <v>13.337999999999999</v>
      </c>
      <c r="N16" s="326">
        <f>'HCI BS Data'!H37</f>
        <v>14.698</v>
      </c>
      <c r="O16" s="326">
        <f>'HCI BS Data'!I37</f>
        <v>12.766999999999999</v>
      </c>
      <c r="P16" s="326">
        <f>'HCI BS Data'!J37</f>
        <v>14.231999999999999</v>
      </c>
      <c r="Q16" s="326">
        <f>'HCI BS Data'!K37</f>
        <v>17.91</v>
      </c>
      <c r="R16" s="329">
        <f>'API - BULL'!M23*R59</f>
        <v>25.741912320000008</v>
      </c>
      <c r="S16" s="329">
        <f>'API - BULL'!N23*S59</f>
        <v>33.979324262400006</v>
      </c>
      <c r="T16" s="329">
        <f>'API - BULL'!O23*T59</f>
        <v>35.678290475520008</v>
      </c>
    </row>
    <row r="17" spans="3:20" x14ac:dyDescent="0.25">
      <c r="D17" s="315" t="s">
        <v>559</v>
      </c>
      <c r="H17" s="326">
        <v>0</v>
      </c>
      <c r="I17" s="326">
        <v>0</v>
      </c>
      <c r="J17" s="326">
        <v>0</v>
      </c>
      <c r="K17" s="326">
        <v>0</v>
      </c>
      <c r="L17" s="326">
        <f>'HCI BS Data'!F33</f>
        <v>103.104004</v>
      </c>
      <c r="M17" s="326">
        <f>'HCI BS Data'!G33</f>
        <v>123.91100299999999</v>
      </c>
      <c r="N17" s="326">
        <f>'HCI BS Data'!H33</f>
        <v>132.678009</v>
      </c>
      <c r="O17" s="326">
        <f>'HCI BS Data'!I33</f>
        <v>85.145995999999997</v>
      </c>
      <c r="P17" s="326">
        <f>'HCI BS Data'!J33</f>
        <v>76.650002000000001</v>
      </c>
      <c r="Q17" s="326">
        <f>'HCI BS Data'!K33</f>
        <v>688.35900900000001</v>
      </c>
      <c r="R17" s="329">
        <f>R26*R60</f>
        <v>514.83824640000012</v>
      </c>
      <c r="S17" s="329">
        <f t="shared" ref="S17:T17" si="2">S26*S60</f>
        <v>560.65885032960023</v>
      </c>
      <c r="T17" s="329">
        <f t="shared" si="2"/>
        <v>481.65692141952013</v>
      </c>
    </row>
    <row r="18" spans="3:20" x14ac:dyDescent="0.25">
      <c r="D18" s="315" t="s">
        <v>560</v>
      </c>
      <c r="H18" s="326">
        <f>'HCI BS Data'!B36</f>
        <v>14.071</v>
      </c>
      <c r="I18" s="326">
        <f>'HCI BS Data'!C36</f>
        <v>15.013999999999999</v>
      </c>
      <c r="J18" s="326">
        <f>'HCI BS Data'!D36</f>
        <v>18.601998999999999</v>
      </c>
      <c r="K18" s="326">
        <f>'HCI BS Data'!E36</f>
        <v>16.638999999999999</v>
      </c>
      <c r="L18" s="326">
        <f>'HCI BS Data'!F36</f>
        <v>16.712</v>
      </c>
      <c r="M18" s="326">
        <f>'HCI BS Data'!G36</f>
        <v>16.507000000000001</v>
      </c>
      <c r="N18" s="326">
        <f>'HCI BS Data'!H36</f>
        <v>21.663</v>
      </c>
      <c r="O18" s="326">
        <f>'HCI BS Data'!I36</f>
        <v>43.858001999999999</v>
      </c>
      <c r="P18" s="326">
        <f>'HCI BS Data'!J36</f>
        <v>57.695</v>
      </c>
      <c r="Q18" s="326">
        <f>'HCI BS Data'!K36</f>
        <v>45.521999000000001</v>
      </c>
      <c r="R18" s="329">
        <f>'API - BULL'!M23*R61</f>
        <v>46.335442176000008</v>
      </c>
      <c r="S18" s="329">
        <f>'API - BULL'!N23*S61</f>
        <v>61.16278367232001</v>
      </c>
      <c r="T18" s="329">
        <f>'API - BULL'!O23*T61</f>
        <v>64.22092285593601</v>
      </c>
    </row>
    <row r="19" spans="3:20" x14ac:dyDescent="0.25">
      <c r="D19" s="315" t="s">
        <v>561</v>
      </c>
      <c r="H19" s="326">
        <f>'HCI BS Data'!B32</f>
        <v>28.065999999999999</v>
      </c>
      <c r="I19" s="326">
        <f>'HCI BS Data'!C32</f>
        <v>34.096001000000001</v>
      </c>
      <c r="J19" s="326">
        <f>'HCI BS Data'!D32</f>
        <v>40.747002000000002</v>
      </c>
      <c r="K19" s="326">
        <f>'HCI BS Data'!E32</f>
        <v>24.554001</v>
      </c>
      <c r="L19" s="326">
        <f>'HCI BS Data'!F32</f>
        <v>22.285999</v>
      </c>
      <c r="M19" s="326">
        <f>'HCI BS Data'!G32</f>
        <v>17.931999000000001</v>
      </c>
      <c r="N19" s="326">
        <f>'HCI BS Data'!H32</f>
        <v>17.983000000000001</v>
      </c>
      <c r="O19" s="326">
        <f>'HCI BS Data'!I32</f>
        <v>36.375999</v>
      </c>
      <c r="P19" s="326">
        <f>'HCI BS Data'!J32</f>
        <v>26.355</v>
      </c>
      <c r="Q19" s="326">
        <f>'HCI BS Data'!K32</f>
        <v>66.626998999999998</v>
      </c>
      <c r="R19" s="329">
        <f>'API - BULL'!M23*R62</f>
        <v>57.592742798343174</v>
      </c>
      <c r="S19" s="329">
        <f>'API - BULL'!N23*S62</f>
        <v>76.022420493812987</v>
      </c>
      <c r="T19" s="329">
        <f>'API - BULL'!O23*T62</f>
        <v>79.823541518503646</v>
      </c>
    </row>
    <row r="20" spans="3:20" x14ac:dyDescent="0.25">
      <c r="D20" s="315" t="s">
        <v>529</v>
      </c>
      <c r="H20" s="326" t="str">
        <f>'HCI BS Data'!B42</f>
        <v>-</v>
      </c>
      <c r="I20" s="326" t="str">
        <f>'HCI BS Data'!C42</f>
        <v>-</v>
      </c>
      <c r="J20" s="326">
        <f>'HCI BS Data'!D42</f>
        <v>0</v>
      </c>
      <c r="K20" s="326">
        <f>'HCI BS Data'!E42</f>
        <v>4.899</v>
      </c>
      <c r="L20" s="326">
        <f>'HCI BS Data'!F42</f>
        <v>4.9950000000000001</v>
      </c>
      <c r="M20" s="326">
        <f>'HCI BS Data'!G42</f>
        <v>4.8</v>
      </c>
      <c r="N20" s="326">
        <f>'HCI BS Data'!H42</f>
        <v>4.1920000000000002</v>
      </c>
      <c r="O20" s="326">
        <f>'HCI BS Data'!I42</f>
        <v>3.5680000000000001</v>
      </c>
      <c r="P20" s="326">
        <f>'HCI BS Data'!J42</f>
        <v>10.635999999999999</v>
      </c>
      <c r="Q20" s="326">
        <f>'HCI BS Data'!K42</f>
        <v>10.577999999999999</v>
      </c>
      <c r="R20" s="341">
        <f>Q20</f>
        <v>10.577999999999999</v>
      </c>
      <c r="S20" s="341">
        <f t="shared" ref="S20:T20" si="3">R20</f>
        <v>10.577999999999999</v>
      </c>
      <c r="T20" s="341">
        <f t="shared" si="3"/>
        <v>10.577999999999999</v>
      </c>
    </row>
    <row r="21" spans="3:20" x14ac:dyDescent="0.25">
      <c r="D21" s="315" t="s">
        <v>294</v>
      </c>
      <c r="H21" s="326" t="str">
        <f>'HCI BS Data'!B44</f>
        <v>-</v>
      </c>
      <c r="I21" s="326" t="str">
        <f>'HCI BS Data'!C44</f>
        <v>-</v>
      </c>
      <c r="J21" s="326" t="str">
        <f>'HCI BS Data'!D44</f>
        <v>-</v>
      </c>
      <c r="K21" s="326" t="str">
        <f>'HCI BS Data'!E44</f>
        <v>-</v>
      </c>
      <c r="L21" s="326" t="str">
        <f>'HCI BS Data'!F44</f>
        <v>-</v>
      </c>
      <c r="M21" s="326" t="str">
        <f>'HCI BS Data'!G44</f>
        <v>-</v>
      </c>
      <c r="N21" s="326" t="str">
        <f>'HCI BS Data'!H44</f>
        <v>-</v>
      </c>
      <c r="O21" s="326">
        <f>'HCI BS Data'!I44</f>
        <v>0</v>
      </c>
      <c r="P21" s="326">
        <f>'HCI BS Data'!J44</f>
        <v>73.716003000000001</v>
      </c>
      <c r="Q21" s="326">
        <f>'HCI BS Data'!K44</f>
        <v>48.771999000000001</v>
      </c>
      <c r="R21" s="341">
        <f>Q21*1.1</f>
        <v>53.649198900000009</v>
      </c>
      <c r="S21" s="341">
        <f t="shared" ref="S21:T22" si="4">R21*1.1</f>
        <v>59.014118790000012</v>
      </c>
      <c r="T21" s="341">
        <f t="shared" si="4"/>
        <v>64.91553066900002</v>
      </c>
    </row>
    <row r="22" spans="3:20" x14ac:dyDescent="0.25">
      <c r="D22" s="315" t="s">
        <v>236</v>
      </c>
      <c r="H22" s="326">
        <f>'HCI BS Data'!B45</f>
        <v>16.946999999999999</v>
      </c>
      <c r="I22" s="326">
        <f>'HCI BS Data'!C45</f>
        <v>38.116</v>
      </c>
      <c r="J22" s="326">
        <f>'HCI BS Data'!D45</f>
        <v>45.564997999999996</v>
      </c>
      <c r="K22" s="326">
        <f>'HCI BS Data'!E45</f>
        <v>16.057000000000002</v>
      </c>
      <c r="L22" s="326">
        <f>'HCI BS Data'!F45</f>
        <v>28.724999</v>
      </c>
      <c r="M22" s="326">
        <f>'HCI BS Data'!G45</f>
        <v>12.466999999999999</v>
      </c>
      <c r="N22" s="326">
        <f>'HCI BS Data'!H45</f>
        <v>20.435999999999996</v>
      </c>
      <c r="O22" s="326">
        <f>'HCI BS Data'!I45</f>
        <v>34.154998999999997</v>
      </c>
      <c r="P22" s="326">
        <f>'HCI BS Data'!J45</f>
        <v>23.757999999999999</v>
      </c>
      <c r="Q22" s="326">
        <f>'HCI BS Data'!K45</f>
        <v>40.106997999999997</v>
      </c>
      <c r="R22" s="341">
        <f>Q22*1.1</f>
        <v>44.117697800000002</v>
      </c>
      <c r="S22" s="341">
        <f t="shared" si="4"/>
        <v>48.529467580000009</v>
      </c>
      <c r="T22" s="341">
        <f t="shared" si="4"/>
        <v>53.382414338000018</v>
      </c>
    </row>
    <row r="23" spans="3:20" ht="15.75" thickBot="1" x14ac:dyDescent="0.3">
      <c r="D23" s="327" t="s">
        <v>144</v>
      </c>
      <c r="E23" s="327"/>
      <c r="F23" s="327"/>
      <c r="G23" s="327"/>
      <c r="H23" s="328">
        <f>SUM(H13:H22)</f>
        <v>526.31601000000001</v>
      </c>
      <c r="I23" s="328">
        <f t="shared" ref="I23:Q23" si="5">SUM(I13:I22)</f>
        <v>598.55698199999995</v>
      </c>
      <c r="J23" s="328">
        <f t="shared" si="5"/>
        <v>636.98601399999984</v>
      </c>
      <c r="K23" s="328">
        <f t="shared" si="5"/>
        <v>670.06401499999993</v>
      </c>
      <c r="L23" s="328">
        <f t="shared" si="5"/>
        <v>842.26401500000009</v>
      </c>
      <c r="M23" s="328">
        <f t="shared" si="5"/>
        <v>832.86298499999987</v>
      </c>
      <c r="N23" s="328">
        <f t="shared" si="5"/>
        <v>802.60900199999992</v>
      </c>
      <c r="O23" s="328">
        <f t="shared" si="5"/>
        <v>941.31300399999986</v>
      </c>
      <c r="P23" s="328">
        <f t="shared" si="5"/>
        <v>1176.856992</v>
      </c>
      <c r="Q23" s="328">
        <f t="shared" si="5"/>
        <v>1803.3279920000002</v>
      </c>
      <c r="R23" s="353">
        <f>SUM(R13:R22)</f>
        <v>1684.4544046686995</v>
      </c>
      <c r="S23" s="353">
        <f t="shared" ref="S23:T23" si="6">SUM(S13:S22)</f>
        <v>1993.0840441548314</v>
      </c>
      <c r="T23" s="353">
        <f t="shared" si="6"/>
        <v>1958.3992182540167</v>
      </c>
    </row>
    <row r="24" spans="3:20" x14ac:dyDescent="0.25">
      <c r="H24" s="330"/>
      <c r="I24" s="330"/>
      <c r="J24" s="330"/>
      <c r="K24" s="330"/>
      <c r="L24" s="330"/>
      <c r="M24" s="324"/>
      <c r="N24" s="324"/>
      <c r="O24" s="324"/>
      <c r="P24" s="324"/>
      <c r="Q24" s="324"/>
    </row>
    <row r="25" spans="3:20" x14ac:dyDescent="0.25">
      <c r="C25" s="315" t="s">
        <v>511</v>
      </c>
      <c r="H25" s="330"/>
      <c r="I25" s="330"/>
      <c r="J25" s="330"/>
      <c r="K25" s="330"/>
      <c r="L25" s="324"/>
      <c r="M25" s="324"/>
      <c r="N25" s="324"/>
      <c r="O25" s="324"/>
      <c r="P25" s="324"/>
      <c r="Q25" s="324"/>
    </row>
    <row r="26" spans="3:20" x14ac:dyDescent="0.25">
      <c r="D26" s="315" t="s">
        <v>563</v>
      </c>
      <c r="H26" s="326">
        <f>'HCI BS Data'!B48</f>
        <v>43.686000999999997</v>
      </c>
      <c r="I26" s="326">
        <f>'HCI BS Data'!C48</f>
        <v>48.908000999999999</v>
      </c>
      <c r="J26" s="326">
        <f>'HCI BS Data'!D48</f>
        <v>51.689999</v>
      </c>
      <c r="K26" s="326">
        <f>'HCI BS Data'!E48</f>
        <v>70.491996999999998</v>
      </c>
      <c r="L26" s="326">
        <f>'HCI BS Data'!F48</f>
        <v>198.578003</v>
      </c>
      <c r="M26" s="326">
        <f>'HCI BS Data'!G48</f>
        <v>207.58599899999999</v>
      </c>
      <c r="N26" s="326">
        <f>'HCI BS Data'!H48</f>
        <v>214.69700599999999</v>
      </c>
      <c r="O26" s="326">
        <f>'HCI BS Data'!I48</f>
        <v>212.169006</v>
      </c>
      <c r="P26" s="326">
        <f>'HCI BS Data'!J48</f>
        <v>237.16499300000001</v>
      </c>
      <c r="Q26" s="326">
        <f>'HCI BS Data'!K48</f>
        <v>863.76501499999995</v>
      </c>
      <c r="R26" s="329">
        <f>'API - BULL'!M23*'BS - BULL'!R64</f>
        <v>643.54780800000015</v>
      </c>
      <c r="S26" s="329">
        <f>'API - BULL'!N23*'BS - BULL'!S64</f>
        <v>747.54513377280023</v>
      </c>
      <c r="T26" s="329">
        <f>'API - BULL'!O23*'BS - BULL'!T64</f>
        <v>642.20922855936021</v>
      </c>
    </row>
    <row r="27" spans="3:20" x14ac:dyDescent="0.25">
      <c r="D27" s="315" t="s">
        <v>530</v>
      </c>
      <c r="H27" s="326">
        <f>'HCI BS Data'!B49</f>
        <v>171.90699799999999</v>
      </c>
      <c r="I27" s="326">
        <f>'HCI BS Data'!C49</f>
        <v>214.070999</v>
      </c>
      <c r="J27" s="326">
        <f>'HCI BS Data'!D49</f>
        <v>187.28999300000001</v>
      </c>
      <c r="K27" s="326">
        <f>'HCI BS Data'!E49</f>
        <v>175.80299400000001</v>
      </c>
      <c r="L27" s="326">
        <f>'HCI BS Data'!F49</f>
        <v>164.895996</v>
      </c>
      <c r="M27" s="326">
        <f>'HCI BS Data'!G49</f>
        <v>157.729004</v>
      </c>
      <c r="N27" s="326">
        <f>'HCI BS Data'!H49</f>
        <v>181.162994</v>
      </c>
      <c r="O27" s="326">
        <f>'HCI BS Data'!I49</f>
        <v>269.39898699999998</v>
      </c>
      <c r="P27" s="326">
        <f>'HCI BS Data'!J49</f>
        <v>366.743988</v>
      </c>
      <c r="Q27" s="326">
        <f>'HCI BS Data'!K49</f>
        <v>368.04699699999998</v>
      </c>
      <c r="R27" s="329">
        <f>'API - BULL'!M23*R65</f>
        <v>406.72221465600012</v>
      </c>
      <c r="S27" s="329">
        <f>'API - BULL'!N23*S65</f>
        <v>536.87332334592008</v>
      </c>
      <c r="T27" s="329">
        <f>'API - BULL'!O23*T65</f>
        <v>563.71698951321616</v>
      </c>
    </row>
    <row r="28" spans="3:20" x14ac:dyDescent="0.25">
      <c r="D28" s="315" t="s">
        <v>564</v>
      </c>
      <c r="H28" s="326">
        <f>'HCI BS Data'!B51</f>
        <v>8.5359999999999996</v>
      </c>
      <c r="I28" s="326">
        <f>'HCI BS Data'!C51</f>
        <v>9.2059999999999995</v>
      </c>
      <c r="J28" s="326">
        <f>'HCI BS Data'!D51</f>
        <v>11.298999999999999</v>
      </c>
      <c r="K28" s="326">
        <f>'HCI BS Data'!E51</f>
        <v>11.164</v>
      </c>
      <c r="L28" s="326">
        <f>'HCI BS Data'!F51</f>
        <v>10.983000000000001</v>
      </c>
      <c r="M28" s="326">
        <f>'HCI BS Data'!G51</f>
        <v>12.674999</v>
      </c>
      <c r="N28" s="326">
        <f>'HCI BS Data'!H51</f>
        <v>15.648001000000001</v>
      </c>
      <c r="O28" s="326">
        <f>'HCI BS Data'!I51</f>
        <v>21.550999000000001</v>
      </c>
      <c r="P28" s="326">
        <f>'HCI BS Data'!J51</f>
        <v>29.223998999999999</v>
      </c>
      <c r="Q28" s="326">
        <f>'HCI BS Data'!K51</f>
        <v>33.121001999999997</v>
      </c>
      <c r="R28" s="329">
        <f>Q28*1.1</f>
        <v>36.4331022</v>
      </c>
      <c r="S28" s="329">
        <f t="shared" ref="S28:T28" si="7">R28*1.1</f>
        <v>40.076412420000004</v>
      </c>
      <c r="T28" s="329">
        <f t="shared" si="7"/>
        <v>44.084053662000009</v>
      </c>
    </row>
    <row r="29" spans="3:20" x14ac:dyDescent="0.25">
      <c r="D29" s="315" t="s">
        <v>149</v>
      </c>
      <c r="H29" s="326">
        <f>'HCI BS Data'!B67</f>
        <v>126.931999</v>
      </c>
      <c r="I29" s="326">
        <f>'HCI BS Data'!C67</f>
        <v>125.886002</v>
      </c>
      <c r="J29" s="326">
        <f>'HCI BS Data'!D67</f>
        <v>129.429001</v>
      </c>
      <c r="K29" s="326">
        <f>'HCI BS Data'!E67</f>
        <v>138.86300700000001</v>
      </c>
      <c r="L29" s="326">
        <f>'HCI BS Data'!F67</f>
        <v>237.83500699999999</v>
      </c>
      <c r="M29" s="326">
        <f>'HCI BS Data'!G67</f>
        <v>250.14999399999999</v>
      </c>
      <c r="N29" s="326">
        <f>'HCI BS Data'!H67</f>
        <v>163.695007</v>
      </c>
      <c r="O29" s="326">
        <f>'HCI BS Data'!I67</f>
        <v>156.51100199999999</v>
      </c>
      <c r="P29" s="326">
        <f>'HCI BS Data'!J67</f>
        <v>45.504002</v>
      </c>
      <c r="Q29" s="326">
        <f>'HCI BS Data'!K67</f>
        <v>211.68699599999999</v>
      </c>
      <c r="R29" s="329">
        <f>R66*R23</f>
        <v>202.13452856024392</v>
      </c>
      <c r="S29" s="329">
        <f>S66*S23</f>
        <v>239.17008529857975</v>
      </c>
      <c r="T29" s="329">
        <f>T66*T23</f>
        <v>235.007906190482</v>
      </c>
    </row>
    <row r="30" spans="3:20" x14ac:dyDescent="0.25">
      <c r="D30" s="315" t="s">
        <v>565</v>
      </c>
      <c r="H30" s="326" t="str">
        <f>'HCI BS Data'!B63</f>
        <v>-</v>
      </c>
      <c r="I30" s="326" t="str">
        <f>'HCI BS Data'!C63</f>
        <v>-</v>
      </c>
      <c r="J30" s="326" t="str">
        <f>'HCI BS Data'!D63</f>
        <v>-</v>
      </c>
      <c r="K30" s="326" t="str">
        <f>'HCI BS Data'!E63</f>
        <v>-</v>
      </c>
      <c r="L30" s="326" t="str">
        <f>'HCI BS Data'!F63</f>
        <v>-</v>
      </c>
      <c r="M30" s="326" t="str">
        <f>'HCI BS Data'!G63</f>
        <v>-</v>
      </c>
      <c r="N30" s="326" t="str">
        <f>'HCI BS Data'!H63</f>
        <v>-</v>
      </c>
      <c r="O30" s="326" t="str">
        <f>'HCI BS Data'!I63</f>
        <v>-</v>
      </c>
      <c r="P30" s="326">
        <f>'HCI BS Data'!J63</f>
        <v>0</v>
      </c>
      <c r="Q30" s="326">
        <f>'HCI BS Data'!K63</f>
        <v>19.863001000000001</v>
      </c>
      <c r="R30" s="329">
        <f>Q30</f>
        <v>19.863001000000001</v>
      </c>
      <c r="S30" s="329">
        <v>10</v>
      </c>
      <c r="T30" s="329">
        <v>5</v>
      </c>
    </row>
    <row r="31" spans="3:20" x14ac:dyDescent="0.25">
      <c r="D31" s="315" t="s">
        <v>509</v>
      </c>
      <c r="H31" s="326">
        <f>'HCI BS Data'!B68</f>
        <v>14.191000000000001</v>
      </c>
      <c r="I31" s="326">
        <f>'HCI BS Data'!C68</f>
        <v>17.901001000000001</v>
      </c>
      <c r="J31" s="326">
        <f>'HCI BS Data'!D68</f>
        <v>19.556000000000001</v>
      </c>
      <c r="K31" s="326">
        <f>'HCI BS Data'!E68</f>
        <v>29.996000000000002</v>
      </c>
      <c r="L31" s="326">
        <f>'HCI BS Data'!F68</f>
        <v>35.997001000000004</v>
      </c>
      <c r="M31" s="326">
        <f>'HCI BS Data'!G68</f>
        <v>23.282001000000001</v>
      </c>
      <c r="N31" s="326">
        <f>'HCI BS Data'!H68</f>
        <v>41.863000999999997</v>
      </c>
      <c r="O31" s="326">
        <f>'HCI BS Data'!I68</f>
        <v>80.546999999999997</v>
      </c>
      <c r="P31" s="326">
        <f>'HCI BS Data'!J68</f>
        <v>83.762000999999998</v>
      </c>
      <c r="Q31" s="326">
        <f>'HCI BS Data'!K68</f>
        <v>52.038001000000001</v>
      </c>
      <c r="R31" s="329">
        <f>Q31*1.1</f>
        <v>57.241801100000004</v>
      </c>
      <c r="S31" s="329">
        <f t="shared" ref="S31:T31" si="8">R31*1.1</f>
        <v>62.96598121000001</v>
      </c>
      <c r="T31" s="329">
        <f t="shared" si="8"/>
        <v>69.262579331000012</v>
      </c>
    </row>
    <row r="32" spans="3:20" ht="15.75" thickBot="1" x14ac:dyDescent="0.3">
      <c r="D32" s="327" t="s">
        <v>152</v>
      </c>
      <c r="E32" s="327"/>
      <c r="F32" s="327"/>
      <c r="G32" s="327"/>
      <c r="H32" s="328">
        <f t="shared" ref="H32:Q32" si="9">SUM(H26:H31)</f>
        <v>365.25199799999996</v>
      </c>
      <c r="I32" s="328">
        <f t="shared" si="9"/>
        <v>415.97200300000003</v>
      </c>
      <c r="J32" s="328">
        <f t="shared" si="9"/>
        <v>399.26399299999997</v>
      </c>
      <c r="K32" s="328">
        <f t="shared" si="9"/>
        <v>426.31799799999999</v>
      </c>
      <c r="L32" s="328">
        <f t="shared" si="9"/>
        <v>648.28900699999997</v>
      </c>
      <c r="M32" s="328">
        <f t="shared" si="9"/>
        <v>651.42199700000003</v>
      </c>
      <c r="N32" s="328">
        <f t="shared" si="9"/>
        <v>617.06600900000012</v>
      </c>
      <c r="O32" s="328">
        <f t="shared" si="9"/>
        <v>740.17699400000004</v>
      </c>
      <c r="P32" s="328">
        <f t="shared" si="9"/>
        <v>762.39898300000004</v>
      </c>
      <c r="Q32" s="328">
        <f t="shared" si="9"/>
        <v>1548.5210119999997</v>
      </c>
      <c r="R32" s="342">
        <f>SUM(R26:R31)</f>
        <v>1365.9424555162441</v>
      </c>
      <c r="S32" s="342">
        <f t="shared" ref="S32:T32" si="10">SUM(S26:S31)</f>
        <v>1636.6309360473001</v>
      </c>
      <c r="T32" s="342">
        <f t="shared" si="10"/>
        <v>1559.2807572560585</v>
      </c>
    </row>
    <row r="33" spans="1:20" x14ac:dyDescent="0.25">
      <c r="D33" s="315" t="s">
        <v>316</v>
      </c>
      <c r="H33" s="326">
        <v>0</v>
      </c>
      <c r="I33" s="326">
        <v>0</v>
      </c>
      <c r="J33" s="326">
        <v>0</v>
      </c>
      <c r="K33" s="326">
        <v>0</v>
      </c>
      <c r="L33" s="326">
        <v>0</v>
      </c>
      <c r="M33" s="326">
        <v>0</v>
      </c>
      <c r="N33" s="326">
        <v>0</v>
      </c>
      <c r="O33" s="326">
        <v>0</v>
      </c>
      <c r="P33" s="326">
        <f>'HCI BS Data'!J69</f>
        <v>89.955001999999993</v>
      </c>
      <c r="Q33" s="326">
        <f>'HCI BS Data'!K69</f>
        <v>93.553000999999995</v>
      </c>
      <c r="R33" s="329">
        <f>Q33*1.1</f>
        <v>102.9083011</v>
      </c>
      <c r="S33" s="329">
        <f t="shared" ref="S33:T33" si="11">R33*1.1</f>
        <v>113.19913121000002</v>
      </c>
      <c r="T33" s="329">
        <f t="shared" si="11"/>
        <v>124.51904433100003</v>
      </c>
    </row>
    <row r="34" spans="1:20" x14ac:dyDescent="0.25">
      <c r="H34" s="326"/>
      <c r="I34" s="326"/>
      <c r="J34" s="326"/>
      <c r="K34" s="326"/>
      <c r="L34" s="326"/>
      <c r="M34" s="326"/>
      <c r="N34" s="326"/>
      <c r="O34" s="326"/>
      <c r="P34" s="326"/>
      <c r="Q34" s="326"/>
    </row>
    <row r="35" spans="1:20" x14ac:dyDescent="0.25">
      <c r="H35" s="326"/>
      <c r="I35" s="326"/>
      <c r="J35" s="326"/>
      <c r="K35" s="326"/>
      <c r="L35" s="326"/>
      <c r="M35" s="326"/>
      <c r="N35" s="326"/>
      <c r="O35" s="326"/>
      <c r="P35" s="326"/>
      <c r="Q35" s="326"/>
    </row>
    <row r="36" spans="1:20" x14ac:dyDescent="0.25">
      <c r="D36" s="315" t="s">
        <v>510</v>
      </c>
      <c r="H36" s="326">
        <f>H23-H32-H33</f>
        <v>161.06401200000005</v>
      </c>
      <c r="I36" s="326">
        <f t="shared" ref="I36:T36" si="12">I23-I32-I33</f>
        <v>182.58497899999992</v>
      </c>
      <c r="J36" s="326">
        <f t="shared" si="12"/>
        <v>237.72202099999987</v>
      </c>
      <c r="K36" s="326">
        <f t="shared" si="12"/>
        <v>243.74601699999994</v>
      </c>
      <c r="L36" s="326">
        <f t="shared" si="12"/>
        <v>193.97500800000012</v>
      </c>
      <c r="M36" s="326">
        <f t="shared" si="12"/>
        <v>181.44098799999983</v>
      </c>
      <c r="N36" s="326">
        <f t="shared" si="12"/>
        <v>185.5429929999998</v>
      </c>
      <c r="O36" s="326">
        <f t="shared" si="12"/>
        <v>201.13600999999983</v>
      </c>
      <c r="P36" s="326">
        <f>P23-P32-P33</f>
        <v>324.50300699999997</v>
      </c>
      <c r="Q36" s="326">
        <f t="shared" si="12"/>
        <v>161.25397900000053</v>
      </c>
      <c r="R36" s="321">
        <f t="shared" si="12"/>
        <v>215.60364805245536</v>
      </c>
      <c r="S36" s="321">
        <f t="shared" si="12"/>
        <v>243.25397689753129</v>
      </c>
      <c r="T36" s="321">
        <f t="shared" si="12"/>
        <v>274.59941666695818</v>
      </c>
    </row>
    <row r="37" spans="1:20" x14ac:dyDescent="0.25">
      <c r="H37" s="324"/>
      <c r="I37" s="324"/>
      <c r="J37" s="324"/>
      <c r="K37" s="324"/>
      <c r="L37" s="330">
        <v>0</v>
      </c>
      <c r="M37" s="324"/>
      <c r="N37" s="324"/>
      <c r="O37" s="324"/>
      <c r="P37" s="324"/>
      <c r="Q37" s="324"/>
      <c r="R37" s="344"/>
      <c r="S37" s="344"/>
      <c r="T37" s="344"/>
    </row>
    <row r="38" spans="1:20" x14ac:dyDescent="0.25">
      <c r="D38" s="315" t="s">
        <v>511</v>
      </c>
      <c r="H38" s="326">
        <f>H36+H32</f>
        <v>526.31601000000001</v>
      </c>
      <c r="I38" s="326">
        <f t="shared" ref="I38:O38" si="13">I36+I32</f>
        <v>598.55698199999995</v>
      </c>
      <c r="J38" s="326">
        <f t="shared" si="13"/>
        <v>636.98601399999984</v>
      </c>
      <c r="K38" s="326">
        <f t="shared" si="13"/>
        <v>670.06401499999993</v>
      </c>
      <c r="L38" s="326">
        <f t="shared" si="13"/>
        <v>842.26401500000009</v>
      </c>
      <c r="M38" s="326">
        <f t="shared" si="13"/>
        <v>832.86298499999987</v>
      </c>
      <c r="N38" s="326">
        <f t="shared" si="13"/>
        <v>802.60900199999992</v>
      </c>
      <c r="O38" s="326">
        <f t="shared" si="13"/>
        <v>941.31300399999986</v>
      </c>
      <c r="P38" s="326">
        <f>P36+P32+P33</f>
        <v>1176.856992</v>
      </c>
      <c r="Q38" s="326">
        <f t="shared" ref="Q38:T38" si="14">Q36+Q32+Q33</f>
        <v>1803.3279920000002</v>
      </c>
      <c r="R38" s="321">
        <f t="shared" si="14"/>
        <v>1684.4544046686995</v>
      </c>
      <c r="S38" s="321">
        <f t="shared" si="14"/>
        <v>1993.0840441548312</v>
      </c>
      <c r="T38" s="321">
        <f t="shared" si="14"/>
        <v>1958.3992182540167</v>
      </c>
    </row>
    <row r="39" spans="1:20" x14ac:dyDescent="0.25">
      <c r="H39" s="326"/>
      <c r="I39" s="326"/>
      <c r="J39" s="326"/>
      <c r="K39" s="326"/>
      <c r="L39" s="326"/>
      <c r="M39" s="326"/>
      <c r="N39" s="326"/>
      <c r="O39" s="326"/>
      <c r="P39" s="326"/>
      <c r="Q39" s="326"/>
      <c r="R39" s="321"/>
      <c r="S39" s="321"/>
      <c r="T39" s="321"/>
    </row>
    <row r="40" spans="1:20" x14ac:dyDescent="0.25">
      <c r="H40" s="321"/>
      <c r="I40" s="321"/>
      <c r="J40" s="321"/>
      <c r="K40" s="321"/>
      <c r="L40" s="321"/>
      <c r="M40" s="321"/>
      <c r="N40" s="321"/>
      <c r="O40" s="321"/>
      <c r="P40" s="321"/>
      <c r="Q40" s="321"/>
      <c r="R40" s="321"/>
      <c r="S40" s="321"/>
      <c r="T40" s="321"/>
    </row>
    <row r="41" spans="1:20" x14ac:dyDescent="0.25">
      <c r="D41" s="315" t="s">
        <v>590</v>
      </c>
      <c r="H41" s="352">
        <v>8.8000000000000007</v>
      </c>
      <c r="I41" s="352">
        <v>8.8000000000000007</v>
      </c>
      <c r="J41" s="352">
        <v>8.8000000000000007</v>
      </c>
      <c r="K41" s="352">
        <v>8.8000000000000007</v>
      </c>
      <c r="L41" s="352">
        <v>8.8000000000000007</v>
      </c>
      <c r="M41" s="352">
        <v>8.8000000000000007</v>
      </c>
      <c r="N41" s="352">
        <v>8.8000000000000007</v>
      </c>
      <c r="O41" s="352">
        <v>8.8000000000000007</v>
      </c>
      <c r="P41" s="352">
        <v>8.8000000000000007</v>
      </c>
      <c r="Q41" s="352">
        <v>8.8000000000000007</v>
      </c>
      <c r="R41" s="352">
        <v>8.8000000000000007</v>
      </c>
      <c r="S41" s="352">
        <v>8.6999999999999993</v>
      </c>
      <c r="T41" s="352">
        <v>8.6</v>
      </c>
    </row>
    <row r="42" spans="1:20" ht="15.75" thickBot="1" x14ac:dyDescent="0.3">
      <c r="D42" s="327" t="s">
        <v>484</v>
      </c>
      <c r="E42" s="327"/>
      <c r="F42" s="327"/>
      <c r="G42" s="327"/>
      <c r="H42" s="354">
        <f t="shared" ref="H42:Q42" si="15">H36/H41</f>
        <v>18.302728636363639</v>
      </c>
      <c r="I42" s="354">
        <f t="shared" si="15"/>
        <v>20.748293068181809</v>
      </c>
      <c r="J42" s="354">
        <f t="shared" si="15"/>
        <v>27.013866022727257</v>
      </c>
      <c r="K42" s="354">
        <f t="shared" si="15"/>
        <v>27.698411022727264</v>
      </c>
      <c r="L42" s="354">
        <f t="shared" si="15"/>
        <v>22.042614545454558</v>
      </c>
      <c r="M42" s="354">
        <f t="shared" si="15"/>
        <v>20.618294090909071</v>
      </c>
      <c r="N42" s="354">
        <f t="shared" si="15"/>
        <v>21.084431022727248</v>
      </c>
      <c r="O42" s="354">
        <f t="shared" si="15"/>
        <v>22.85636477272725</v>
      </c>
      <c r="P42" s="354">
        <f t="shared" si="15"/>
        <v>36.875341704545448</v>
      </c>
      <c r="Q42" s="354">
        <f t="shared" si="15"/>
        <v>18.324315795454602</v>
      </c>
      <c r="R42" s="354">
        <f>R36/R41</f>
        <v>24.500414551415378</v>
      </c>
      <c r="S42" s="354">
        <f t="shared" ref="S42:T42" si="16">S36/S41</f>
        <v>27.960227229601301</v>
      </c>
      <c r="T42" s="354">
        <f t="shared" si="16"/>
        <v>31.930164728716068</v>
      </c>
    </row>
    <row r="43" spans="1:20" x14ac:dyDescent="0.25">
      <c r="H43" s="321"/>
      <c r="I43" s="321"/>
      <c r="J43" s="321"/>
      <c r="K43" s="321"/>
      <c r="L43" s="321"/>
      <c r="M43" s="321"/>
      <c r="N43" s="321"/>
      <c r="O43" s="321"/>
      <c r="P43" s="321"/>
      <c r="Q43" s="321"/>
      <c r="R43" s="321"/>
      <c r="S43" s="321"/>
      <c r="T43" s="321"/>
    </row>
    <row r="44" spans="1:20" x14ac:dyDescent="0.25">
      <c r="H44" s="321"/>
      <c r="I44" s="321"/>
      <c r="J44" s="321"/>
      <c r="K44" s="321"/>
      <c r="R44" s="344"/>
      <c r="S44" s="344"/>
      <c r="T44" s="344"/>
    </row>
    <row r="45" spans="1:20" x14ac:dyDescent="0.25">
      <c r="H45" s="321"/>
      <c r="I45" s="321"/>
      <c r="J45" s="321"/>
      <c r="K45" s="321"/>
    </row>
    <row r="46" spans="1:20" s="331" customFormat="1" x14ac:dyDescent="0.25">
      <c r="A46" s="331" t="s">
        <v>531</v>
      </c>
      <c r="E46" s="332" t="s">
        <v>532</v>
      </c>
      <c r="F46" s="332" t="s">
        <v>533</v>
      </c>
    </row>
    <row r="47" spans="1:20" s="333" customFormat="1" x14ac:dyDescent="0.25">
      <c r="E47" s="334"/>
      <c r="F47" s="334"/>
    </row>
    <row r="48" spans="1:20" x14ac:dyDescent="0.25">
      <c r="C48" s="315" t="s">
        <v>534</v>
      </c>
      <c r="E48" s="335"/>
      <c r="F48" s="336"/>
      <c r="H48" s="335"/>
      <c r="I48" s="335"/>
      <c r="J48" s="335"/>
      <c r="K48" s="335"/>
      <c r="L48" s="335"/>
      <c r="M48" s="335"/>
      <c r="N48" s="335"/>
      <c r="O48" s="335"/>
      <c r="P48" s="335"/>
      <c r="Q48" s="335"/>
      <c r="R48" s="335"/>
      <c r="S48" s="335"/>
      <c r="T48" s="335"/>
    </row>
    <row r="49" spans="3:20" hidden="1" outlineLevel="1" x14ac:dyDescent="0.25">
      <c r="C49" s="315" t="s">
        <v>535</v>
      </c>
      <c r="H49" s="337">
        <f>IFERROR(#REF!/H17,0)</f>
        <v>0</v>
      </c>
      <c r="I49" s="337">
        <f>IFERROR(#REF!/I17,0)</f>
        <v>0</v>
      </c>
      <c r="J49" s="337">
        <f>IFERROR(#REF!/J17,0)</f>
        <v>0</v>
      </c>
      <c r="K49" s="337">
        <f>IFERROR(#REF!/K17,0)</f>
        <v>0</v>
      </c>
      <c r="L49" s="337">
        <f>IFERROR(#REF!/L17,0)</f>
        <v>0</v>
      </c>
      <c r="M49" s="324"/>
      <c r="N49" s="324"/>
      <c r="O49" s="324"/>
      <c r="P49" s="324"/>
      <c r="Q49" s="324"/>
    </row>
    <row r="50" spans="3:20" hidden="1" outlineLevel="1" x14ac:dyDescent="0.25">
      <c r="C50" s="315" t="s">
        <v>536</v>
      </c>
      <c r="H50" s="337" t="e">
        <f>#REF!/#REF!</f>
        <v>#REF!</v>
      </c>
      <c r="I50" s="337" t="e">
        <f>#REF!/#REF!</f>
        <v>#REF!</v>
      </c>
      <c r="J50" s="337" t="e">
        <f>#REF!/#REF!</f>
        <v>#REF!</v>
      </c>
      <c r="K50" s="337" t="e">
        <f>#REF!/#REF!</f>
        <v>#REF!</v>
      </c>
      <c r="L50" s="337" t="e">
        <f>#REF!/#REF!</f>
        <v>#REF!</v>
      </c>
      <c r="M50" s="324"/>
      <c r="N50" s="324"/>
      <c r="O50" s="324"/>
      <c r="P50" s="324"/>
      <c r="Q50" s="324"/>
    </row>
    <row r="51" spans="3:20" hidden="1" outlineLevel="1" x14ac:dyDescent="0.25">
      <c r="H51" s="338"/>
      <c r="I51" s="338"/>
      <c r="J51" s="338"/>
      <c r="K51" s="338"/>
      <c r="L51" s="338"/>
      <c r="M51" s="324"/>
      <c r="N51" s="324"/>
      <c r="O51" s="324"/>
      <c r="P51" s="324"/>
      <c r="Q51" s="324"/>
    </row>
    <row r="52" spans="3:20" hidden="1" outlineLevel="1" x14ac:dyDescent="0.25">
      <c r="C52" s="315" t="s">
        <v>537</v>
      </c>
      <c r="H52" s="326" t="e">
        <f>H26-#REF!</f>
        <v>#REF!</v>
      </c>
      <c r="I52" s="326">
        <f>I26-H26</f>
        <v>5.2220000000000013</v>
      </c>
      <c r="J52" s="326">
        <f>J26-I26</f>
        <v>2.7819980000000015</v>
      </c>
      <c r="K52" s="326">
        <f>K26-J26</f>
        <v>18.801997999999998</v>
      </c>
      <c r="L52" s="326">
        <f>L26-K26</f>
        <v>128.086006</v>
      </c>
      <c r="M52" s="330" t="e">
        <f>SUM(H52:L52)</f>
        <v>#REF!</v>
      </c>
      <c r="N52" s="324"/>
      <c r="O52" s="324"/>
      <c r="P52" s="324"/>
      <c r="Q52" s="324"/>
    </row>
    <row r="53" spans="3:20" hidden="1" outlineLevel="1" x14ac:dyDescent="0.25">
      <c r="C53" s="315" t="s">
        <v>538</v>
      </c>
      <c r="H53" s="326" t="e">
        <f>#REF!-#REF!</f>
        <v>#REF!</v>
      </c>
      <c r="I53" s="326" t="e">
        <f>#REF!-#REF!</f>
        <v>#REF!</v>
      </c>
      <c r="J53" s="326" t="e">
        <f>#REF!-#REF!</f>
        <v>#REF!</v>
      </c>
      <c r="K53" s="326" t="e">
        <f>#REF!-#REF!</f>
        <v>#REF!</v>
      </c>
      <c r="L53" s="326" t="e">
        <f>#REF!-#REF!</f>
        <v>#REF!</v>
      </c>
      <c r="M53" s="330" t="e">
        <f>SUM(H53:L53)</f>
        <v>#REF!</v>
      </c>
      <c r="N53" s="324"/>
      <c r="O53" s="324"/>
      <c r="P53" s="324"/>
      <c r="Q53" s="324"/>
    </row>
    <row r="54" spans="3:20" hidden="1" outlineLevel="1" x14ac:dyDescent="0.25">
      <c r="C54" s="315" t="s">
        <v>539</v>
      </c>
      <c r="H54" s="338" t="e">
        <f t="shared" ref="H54:M54" si="17">H52/H53</f>
        <v>#REF!</v>
      </c>
      <c r="I54" s="338" t="e">
        <f t="shared" si="17"/>
        <v>#REF!</v>
      </c>
      <c r="J54" s="338" t="e">
        <f t="shared" si="17"/>
        <v>#REF!</v>
      </c>
      <c r="K54" s="338" t="e">
        <f t="shared" si="17"/>
        <v>#REF!</v>
      </c>
      <c r="L54" s="338" t="e">
        <f t="shared" si="17"/>
        <v>#REF!</v>
      </c>
      <c r="M54" s="338" t="e">
        <f t="shared" si="17"/>
        <v>#REF!</v>
      </c>
      <c r="N54" s="324"/>
      <c r="O54" s="324"/>
      <c r="P54" s="324"/>
      <c r="Q54" s="324"/>
    </row>
    <row r="55" spans="3:20" hidden="1" outlineLevel="1" x14ac:dyDescent="0.25">
      <c r="C55" s="315" t="s">
        <v>540</v>
      </c>
      <c r="H55" s="338" t="e">
        <f>H52/#REF!</f>
        <v>#REF!</v>
      </c>
      <c r="I55" s="338" t="e">
        <f>I52/#REF!</f>
        <v>#REF!</v>
      </c>
      <c r="J55" s="338" t="e">
        <f>J52/#REF!</f>
        <v>#REF!</v>
      </c>
      <c r="K55" s="338" t="e">
        <f>K52/#REF!</f>
        <v>#REF!</v>
      </c>
      <c r="L55" s="338" t="e">
        <f>L52/#REF!</f>
        <v>#REF!</v>
      </c>
      <c r="M55" s="338"/>
      <c r="N55" s="324"/>
      <c r="O55" s="324"/>
      <c r="P55" s="324"/>
      <c r="Q55" s="324"/>
    </row>
    <row r="56" spans="3:20" collapsed="1" x14ac:dyDescent="0.25"/>
    <row r="57" spans="3:20" x14ac:dyDescent="0.25">
      <c r="C57" s="315" t="s">
        <v>542</v>
      </c>
      <c r="E57" s="284">
        <f t="shared" ref="E57:E62" si="18">AVERAGE(H57:Q57)</f>
        <v>2.3517560228799193</v>
      </c>
      <c r="F57" s="339">
        <v>1</v>
      </c>
      <c r="H57" s="340">
        <f t="shared" ref="H57:Q57" si="19">H14/H26</f>
        <v>3.3426726332767331</v>
      </c>
      <c r="I57" s="340">
        <f t="shared" si="19"/>
        <v>3.4513574987454505</v>
      </c>
      <c r="J57" s="340">
        <f t="shared" si="19"/>
        <v>4.5060362063462218</v>
      </c>
      <c r="K57" s="340">
        <f t="shared" si="19"/>
        <v>4.2378429000954538</v>
      </c>
      <c r="L57" s="340">
        <f t="shared" si="19"/>
        <v>1.9150460033581866</v>
      </c>
      <c r="M57" s="340">
        <f t="shared" si="19"/>
        <v>1.8680594638754997</v>
      </c>
      <c r="N57" s="340">
        <f t="shared" si="19"/>
        <v>1.5905484587894068</v>
      </c>
      <c r="O57" s="340">
        <f t="shared" si="19"/>
        <v>1.0638688715919233</v>
      </c>
      <c r="P57" s="340">
        <f t="shared" si="19"/>
        <v>0.82944364390236969</v>
      </c>
      <c r="Q57" s="340">
        <f t="shared" si="19"/>
        <v>0.71268454881794452</v>
      </c>
      <c r="R57" s="284">
        <v>0.95</v>
      </c>
      <c r="S57" s="284">
        <v>1</v>
      </c>
      <c r="T57" s="284">
        <v>1.1000000000000001</v>
      </c>
    </row>
    <row r="58" spans="3:20" x14ac:dyDescent="0.25">
      <c r="C58" s="315" t="s">
        <v>574</v>
      </c>
      <c r="E58" s="284">
        <f t="shared" si="18"/>
        <v>0.10335015246427423</v>
      </c>
      <c r="F58" s="339">
        <v>0.1</v>
      </c>
      <c r="H58" s="340">
        <f>H15/'API - BASE'!C23</f>
        <v>6.2655849701110169E-2</v>
      </c>
      <c r="I58" s="340">
        <f>I15/'API - BASE'!D23</f>
        <v>6.2768742562475208E-2</v>
      </c>
      <c r="J58" s="340">
        <f>J15/'API - BASE'!E23</f>
        <v>6.9490269026548673E-2</v>
      </c>
      <c r="K58" s="340">
        <f>K15/'API - BASE'!F23</f>
        <v>7.0919536124794735E-2</v>
      </c>
      <c r="L58" s="340">
        <f>L15/'API - BASE'!G23</f>
        <v>7.9283165627782731E-2</v>
      </c>
      <c r="M58" s="340">
        <f>M15/'API - BASE'!H23</f>
        <v>7.8102155576382393E-2</v>
      </c>
      <c r="N58" s="340">
        <f>N15/'API - BASE'!I23</f>
        <v>9.3643083680073971E-2</v>
      </c>
      <c r="O58" s="340">
        <f>O15/'API - BASE'!J23</f>
        <v>0.26050287238095238</v>
      </c>
      <c r="P58" s="340">
        <f>P15/'API - BASE'!K23</f>
        <v>0.18064404452690166</v>
      </c>
      <c r="Q58" s="340">
        <f>Q15/'API - BASE'!L23</f>
        <v>7.5491805435720455E-2</v>
      </c>
      <c r="R58" s="284">
        <v>0.1</v>
      </c>
      <c r="S58" s="284">
        <v>0.11</v>
      </c>
      <c r="T58" s="284">
        <v>0.12</v>
      </c>
    </row>
    <row r="59" spans="3:20" x14ac:dyDescent="0.25">
      <c r="C59" s="315" t="s">
        <v>575</v>
      </c>
      <c r="E59" s="284">
        <f t="shared" si="18"/>
        <v>5.0418401882464145E-2</v>
      </c>
      <c r="F59" s="339">
        <v>0.05</v>
      </c>
      <c r="H59" s="340">
        <f>H16/'API - BASE'!C23</f>
        <v>5.6071733561058927E-2</v>
      </c>
      <c r="I59" s="340">
        <f>I16/'API - BASE'!D23</f>
        <v>4.8758429194763982E-2</v>
      </c>
      <c r="J59" s="340">
        <f>J16/'API - BASE'!E23</f>
        <v>4.1720353982300881E-2</v>
      </c>
      <c r="K59" s="340">
        <f>K16/'API - BASE'!F23</f>
        <v>4.6691297208538589E-2</v>
      </c>
      <c r="L59" s="340">
        <f>L16/'API - BASE'!G23</f>
        <v>5.5498664292074798E-2</v>
      </c>
      <c r="M59" s="340">
        <f>M16/'API - BASE'!H23</f>
        <v>6.2502343017806924E-2</v>
      </c>
      <c r="N59" s="340">
        <f>N16/'API - BASE'!I23</f>
        <v>6.7951918631530286E-2</v>
      </c>
      <c r="O59" s="340">
        <f>O16/'API - BASE'!J23</f>
        <v>4.8636190476190472E-2</v>
      </c>
      <c r="P59" s="340">
        <f>P16/'API - BASE'!K23</f>
        <v>3.7720646700238537E-2</v>
      </c>
      <c r="Q59" s="340">
        <f>Q16/'API - BASE'!L23</f>
        <v>3.8632441760138046E-2</v>
      </c>
      <c r="R59" s="284">
        <f>F59</f>
        <v>0.05</v>
      </c>
      <c r="S59" s="284">
        <f>R59</f>
        <v>0.05</v>
      </c>
      <c r="T59" s="284">
        <f t="shared" ref="T59:T61" si="20">S59</f>
        <v>0.05</v>
      </c>
    </row>
    <row r="60" spans="3:20" x14ac:dyDescent="0.25">
      <c r="C60" s="315" t="s">
        <v>576</v>
      </c>
      <c r="E60" s="284">
        <f t="shared" si="18"/>
        <v>0.32555370157818952</v>
      </c>
      <c r="F60" s="339">
        <v>0.33</v>
      </c>
      <c r="H60" s="340">
        <f>H17/H26</f>
        <v>0</v>
      </c>
      <c r="I60" s="340">
        <f t="shared" ref="I60:Q60" si="21">I17/I26</f>
        <v>0</v>
      </c>
      <c r="J60" s="340">
        <f t="shared" si="21"/>
        <v>0</v>
      </c>
      <c r="K60" s="340">
        <f t="shared" si="21"/>
        <v>0</v>
      </c>
      <c r="L60" s="340">
        <f t="shared" si="21"/>
        <v>0.51921160673571687</v>
      </c>
      <c r="M60" s="340">
        <f t="shared" si="21"/>
        <v>0.59691406740779274</v>
      </c>
      <c r="N60" s="340">
        <f t="shared" si="21"/>
        <v>0.61797791907726929</v>
      </c>
      <c r="O60" s="340">
        <f t="shared" si="21"/>
        <v>0.40131213132987009</v>
      </c>
      <c r="P60" s="340">
        <f t="shared" si="21"/>
        <v>0.3231927319054208</v>
      </c>
      <c r="Q60" s="340">
        <f t="shared" si="21"/>
        <v>0.79692855932582551</v>
      </c>
      <c r="R60" s="284">
        <v>0.8</v>
      </c>
      <c r="S60" s="284">
        <v>0.75</v>
      </c>
      <c r="T60" s="284">
        <v>0.75</v>
      </c>
    </row>
    <row r="61" spans="3:20" x14ac:dyDescent="0.25">
      <c r="C61" s="315" t="s">
        <v>577</v>
      </c>
      <c r="E61" s="284">
        <f t="shared" si="18"/>
        <v>9.2388799262088664E-2</v>
      </c>
      <c r="F61" s="339">
        <v>0.09</v>
      </c>
      <c r="H61" s="340">
        <f>H18/'API - BASE'!C23</f>
        <v>6.0081127241673783E-2</v>
      </c>
      <c r="I61" s="340">
        <f>I18/'API - BASE'!D23</f>
        <v>5.9555731852439509E-2</v>
      </c>
      <c r="J61" s="340">
        <f>J18/'API - BASE'!E23</f>
        <v>6.5847784070796458E-2</v>
      </c>
      <c r="K61" s="340">
        <f>K18/'API - BASE'!F23</f>
        <v>6.8304597701149425E-2</v>
      </c>
      <c r="L61" s="340">
        <f>L18/'API - BASE'!G23</f>
        <v>7.4407836153161169E-2</v>
      </c>
      <c r="M61" s="340">
        <f>M18/'API - BASE'!H23</f>
        <v>7.7352389878163078E-2</v>
      </c>
      <c r="N61" s="340">
        <f>N18/'API - BASE'!I23</f>
        <v>0.10015256588072122</v>
      </c>
      <c r="O61" s="340">
        <f>O18/'API - BASE'!J23</f>
        <v>0.16707810285714286</v>
      </c>
      <c r="P61" s="340">
        <f>P18/'API - BASE'!K23</f>
        <v>0.15291545189504374</v>
      </c>
      <c r="Q61" s="340">
        <f>Q18/'API - BASE'!L23</f>
        <v>9.8192405090595333E-2</v>
      </c>
      <c r="R61" s="284">
        <f>F61</f>
        <v>0.09</v>
      </c>
      <c r="S61" s="284">
        <f>R61</f>
        <v>0.09</v>
      </c>
      <c r="T61" s="284">
        <f t="shared" si="20"/>
        <v>0.09</v>
      </c>
    </row>
    <row r="62" spans="3:20" x14ac:dyDescent="0.25">
      <c r="C62" s="315" t="s">
        <v>578</v>
      </c>
      <c r="E62" s="284">
        <f t="shared" si="18"/>
        <v>0.11186570384205077</v>
      </c>
      <c r="F62" s="339">
        <f>E62</f>
        <v>0.11186570384205077</v>
      </c>
      <c r="H62" s="340">
        <f>H19/'API - BASE'!C23</f>
        <v>0.11983774551665244</v>
      </c>
      <c r="I62" s="340">
        <f>I19/'API - BASE'!D23</f>
        <v>0.13524792145973821</v>
      </c>
      <c r="J62" s="340">
        <f>J19/'API - BASE'!E23</f>
        <v>0.14423717522123894</v>
      </c>
      <c r="K62" s="340">
        <f>K19/'API - BASE'!F23</f>
        <v>0.10079639162561577</v>
      </c>
      <c r="L62" s="340">
        <f>L19/'API - BASE'!G23</f>
        <v>9.9225284951024048E-2</v>
      </c>
      <c r="M62" s="340">
        <f>M19/'API - BASE'!H23</f>
        <v>8.4029985941893162E-2</v>
      </c>
      <c r="N62" s="340">
        <f>N19/'API - BASE'!I23</f>
        <v>8.313915857605178E-2</v>
      </c>
      <c r="O62" s="340">
        <f>O19/'API - BASE'!J23</f>
        <v>0.13857523428571428</v>
      </c>
      <c r="P62" s="340">
        <f>P19/'API - BASE'!K23</f>
        <v>6.9851576994434131E-2</v>
      </c>
      <c r="Q62" s="340">
        <f>Q19/'API - BASE'!L23</f>
        <v>0.14371656384814493</v>
      </c>
      <c r="R62" s="284">
        <f>F62</f>
        <v>0.11186570384205077</v>
      </c>
      <c r="S62" s="284">
        <f>R62</f>
        <v>0.11186570384205077</v>
      </c>
      <c r="T62" s="284">
        <f>S62</f>
        <v>0.11186570384205077</v>
      </c>
    </row>
    <row r="63" spans="3:20" x14ac:dyDescent="0.25">
      <c r="E63" s="284"/>
      <c r="F63" s="339"/>
      <c r="H63" s="340"/>
      <c r="I63" s="340"/>
      <c r="J63" s="340"/>
      <c r="K63" s="340"/>
      <c r="L63" s="340"/>
      <c r="M63" s="340"/>
      <c r="N63" s="340"/>
      <c r="O63" s="340"/>
      <c r="P63" s="340"/>
      <c r="Q63" s="340"/>
      <c r="R63" s="284"/>
      <c r="S63" s="284"/>
      <c r="T63" s="284"/>
    </row>
    <row r="64" spans="3:20" collapsed="1" x14ac:dyDescent="0.25">
      <c r="C64" s="315" t="s">
        <v>541</v>
      </c>
      <c r="E64" s="284">
        <f>AVERAGE(H64:Q64)</f>
        <v>0.78598177508721023</v>
      </c>
      <c r="F64" s="339">
        <v>1</v>
      </c>
      <c r="H64" s="340">
        <f>H26/'API - BASE'!B23</f>
        <v>0.27719543781725886</v>
      </c>
      <c r="I64" s="340">
        <f>I26/'API - BASE'!C23</f>
        <v>0.20883006404782237</v>
      </c>
      <c r="J64" s="340">
        <f>J26/'API - BASE'!D23</f>
        <v>0.20503767949226498</v>
      </c>
      <c r="K64" s="340">
        <f>K26/'API - BASE'!E23</f>
        <v>0.24952919292035397</v>
      </c>
      <c r="L64" s="340">
        <f>L26/'API - BASE'!F23</f>
        <v>0.81518063628899839</v>
      </c>
      <c r="M64" s="340">
        <f>M26/'API - BASE'!G23</f>
        <v>0.92424754674977738</v>
      </c>
      <c r="N64" s="340">
        <f>N26/'API - BASE'!H23</f>
        <v>1.0060778163074038</v>
      </c>
      <c r="O64" s="340">
        <f>O26/'API - BASE'!I23</f>
        <v>0.98090155339805818</v>
      </c>
      <c r="P64" s="340">
        <f>P26/'API - BASE'!J23</f>
        <v>0.90348568761904768</v>
      </c>
      <c r="Q64" s="340">
        <f>Q26/'API - BASE'!K23</f>
        <v>2.2893321362311156</v>
      </c>
      <c r="R64" s="284">
        <v>1.25</v>
      </c>
      <c r="S64" s="284">
        <v>1.1000000000000001</v>
      </c>
      <c r="T64" s="284">
        <v>0.9</v>
      </c>
    </row>
    <row r="65" spans="3:20" x14ac:dyDescent="0.25">
      <c r="C65" s="315" t="s">
        <v>580</v>
      </c>
      <c r="E65" s="284">
        <f>AVERAGE(H65:Q65)</f>
        <v>0.80708771750777475</v>
      </c>
      <c r="F65" s="339">
        <v>0.81</v>
      </c>
      <c r="H65" s="340">
        <f>H27/'API - BASE'!C23</f>
        <v>0.73401792485055506</v>
      </c>
      <c r="I65" s="340">
        <f>I27/'API - BASE'!D23</f>
        <v>0.84915112653708846</v>
      </c>
      <c r="J65" s="340">
        <f>J27/'API - BASE'!E23</f>
        <v>0.66297342654867264</v>
      </c>
      <c r="K65" s="340">
        <f>K27/'API - BASE'!F23</f>
        <v>0.7216871674876848</v>
      </c>
      <c r="L65" s="340">
        <f>L27/'API - BASE'!G23</f>
        <v>0.7341762956366874</v>
      </c>
      <c r="M65" s="340">
        <f>M27/'API - BASE'!H23</f>
        <v>0.73912373008434862</v>
      </c>
      <c r="N65" s="340">
        <f>N27/'API - BASE'!I23</f>
        <v>0.83755429496070266</v>
      </c>
      <c r="O65" s="340">
        <f>O27/'API - BASE'!J23</f>
        <v>1.0262818552380952</v>
      </c>
      <c r="P65" s="340">
        <f>P27/'API - BASE'!K23</f>
        <v>0.97202223164590507</v>
      </c>
      <c r="Q65" s="340">
        <f>Q27/'API - BASE'!L23</f>
        <v>0.79388912208800677</v>
      </c>
      <c r="R65" s="284">
        <v>0.79</v>
      </c>
      <c r="S65" s="284">
        <f>R65</f>
        <v>0.79</v>
      </c>
      <c r="T65" s="284">
        <f t="shared" ref="T65" si="22">S65</f>
        <v>0.79</v>
      </c>
    </row>
    <row r="66" spans="3:20" x14ac:dyDescent="0.25">
      <c r="C66" s="315" t="s">
        <v>586</v>
      </c>
      <c r="E66" s="284">
        <f>AVERAGE(H66:Q66)</f>
        <v>0.19709149828598821</v>
      </c>
      <c r="F66" s="339">
        <v>0.2</v>
      </c>
      <c r="H66" s="340">
        <f>H29/H23</f>
        <v>0.24117069704947794</v>
      </c>
      <c r="I66" s="340">
        <f>I29/I23</f>
        <v>0.21031581918795497</v>
      </c>
      <c r="J66" s="340">
        <f>J29/J23</f>
        <v>0.20318970614007867</v>
      </c>
      <c r="K66" s="340">
        <f>K29/K23</f>
        <v>0.2072384188546523</v>
      </c>
      <c r="L66" s="340">
        <f>L29/L23</f>
        <v>0.2823758379372292</v>
      </c>
      <c r="M66" s="340">
        <f>M29/M23</f>
        <v>0.30034951547282418</v>
      </c>
      <c r="N66" s="340">
        <f>N29/N23</f>
        <v>0.20395361451477967</v>
      </c>
      <c r="O66" s="340">
        <f>O29/O23</f>
        <v>0.16626881954772188</v>
      </c>
      <c r="P66" s="340">
        <f>P29/P23</f>
        <v>3.8665702213034905E-2</v>
      </c>
      <c r="Q66" s="340">
        <f>Q29/Q23</f>
        <v>0.11738685194212854</v>
      </c>
      <c r="R66" s="284">
        <v>0.12</v>
      </c>
      <c r="S66" s="284">
        <f>R66</f>
        <v>0.12</v>
      </c>
      <c r="T66" s="284">
        <f>S66</f>
        <v>0.12</v>
      </c>
    </row>
    <row r="67" spans="3:20" x14ac:dyDescent="0.25">
      <c r="C67" s="315" t="s">
        <v>235</v>
      </c>
      <c r="E67" s="284"/>
      <c r="F67" s="448"/>
      <c r="H67" s="468">
        <v>6.8880000000000052</v>
      </c>
      <c r="I67" s="468">
        <v>14.114999999999981</v>
      </c>
      <c r="J67" s="468">
        <v>8.1329999999999814</v>
      </c>
      <c r="K67" s="468">
        <v>19.169999999999987</v>
      </c>
      <c r="L67" s="468">
        <v>21.272999999999996</v>
      </c>
      <c r="M67" s="468">
        <v>17.972000000000008</v>
      </c>
      <c r="N67" s="468">
        <v>26.462999999999994</v>
      </c>
      <c r="O67" s="468">
        <v>11.579000000000008</v>
      </c>
      <c r="P67" s="468">
        <v>27.824999999999989</v>
      </c>
      <c r="Q67" s="468">
        <v>35.962999999999965</v>
      </c>
      <c r="R67" s="469">
        <f>'API - BULL'!M26</f>
        <v>39.559299999999965</v>
      </c>
      <c r="S67" s="469">
        <f>'API - BULL'!N26</f>
        <v>37.581334999999967</v>
      </c>
      <c r="T67" s="469">
        <f>'API - BULL'!O26</f>
        <v>35.702268249999968</v>
      </c>
    </row>
    <row r="68" spans="3:20" x14ac:dyDescent="0.25">
      <c r="C68" s="315" t="s">
        <v>742</v>
      </c>
      <c r="E68" s="284"/>
      <c r="F68" s="448"/>
      <c r="H68" s="470">
        <f>H67/H14</f>
        <v>4.7169036075273271E-2</v>
      </c>
      <c r="I68" s="470">
        <f>I67/I14</f>
        <v>8.3620165608093905E-2</v>
      </c>
      <c r="J68" s="470">
        <f>J67/J14</f>
        <v>3.4918016957001259E-2</v>
      </c>
      <c r="K68" s="470">
        <f>K67/K14</f>
        <v>6.4170798846006141E-2</v>
      </c>
      <c r="L68" s="470">
        <f>L67/L14</f>
        <v>5.5939475512287506E-2</v>
      </c>
      <c r="M68" s="470">
        <f>M67/M14</f>
        <v>4.6345508863088629E-2</v>
      </c>
      <c r="N68" s="470">
        <f>N67/N14</f>
        <v>7.7493661877644435E-2</v>
      </c>
      <c r="O68" s="470">
        <f>O67/O14</f>
        <v>5.1298068176067427E-2</v>
      </c>
      <c r="P68" s="470">
        <f>P67/P14</f>
        <v>0.14144829100878506</v>
      </c>
      <c r="Q68" s="470">
        <f>Q67/Q14</f>
        <v>5.8420189294863721E-2</v>
      </c>
      <c r="R68" s="472">
        <f>R67/R14</f>
        <v>6.4705943992668505E-2</v>
      </c>
      <c r="S68" s="472">
        <f>S67/S14</f>
        <v>5.0272997979841014E-2</v>
      </c>
      <c r="T68" s="472">
        <f>T67/T14</f>
        <v>5.0538992678147043E-2</v>
      </c>
    </row>
    <row r="69" spans="3:20" x14ac:dyDescent="0.25">
      <c r="E69" s="284"/>
      <c r="F69" s="448"/>
      <c r="H69" s="449"/>
      <c r="I69" s="449"/>
      <c r="J69" s="449"/>
      <c r="K69" s="449"/>
      <c r="L69" s="449"/>
      <c r="M69" s="449"/>
      <c r="N69" s="449"/>
      <c r="O69" s="449"/>
      <c r="P69" s="449"/>
      <c r="Q69" s="449"/>
      <c r="R69" s="449"/>
      <c r="S69" s="449"/>
      <c r="T69" s="284"/>
    </row>
    <row r="70" spans="3:20" x14ac:dyDescent="0.25">
      <c r="E70" s="284"/>
      <c r="F70" s="448"/>
      <c r="H70" s="449"/>
      <c r="I70" s="449"/>
      <c r="J70" s="449"/>
      <c r="K70" s="449"/>
      <c r="L70" s="449"/>
      <c r="M70" s="449"/>
      <c r="N70" s="449"/>
      <c r="O70" s="449"/>
      <c r="P70" s="449"/>
      <c r="Q70" s="449"/>
      <c r="R70" s="449"/>
      <c r="S70" s="449"/>
      <c r="T70" s="284"/>
    </row>
    <row r="71" spans="3:20" x14ac:dyDescent="0.25">
      <c r="E71" s="284"/>
      <c r="F71" s="448"/>
      <c r="H71" s="449"/>
      <c r="I71" s="449"/>
      <c r="J71" s="449"/>
      <c r="K71" s="449"/>
      <c r="L71" s="449"/>
      <c r="M71" s="449"/>
      <c r="N71" s="449"/>
      <c r="O71" s="449"/>
      <c r="P71" s="449"/>
      <c r="Q71" s="449"/>
      <c r="R71" s="449"/>
      <c r="S71" s="449"/>
      <c r="T71" s="284"/>
    </row>
  </sheetData>
  <conditionalFormatting sqref="A1:XFD55 A58:XFD1048576">
    <cfRule type="containsText" dxfId="7" priority="3" operator="containsText" text="FALSE">
      <formula>NOT(ISERROR(SEARCH("FALSE",A1)))</formula>
    </cfRule>
    <cfRule type="cellIs" dxfId="6" priority="4" operator="equal">
      <formula>TRUE</formula>
    </cfRule>
  </conditionalFormatting>
  <conditionalFormatting sqref="A57:Q57 U57:XFD57">
    <cfRule type="containsText" dxfId="5" priority="5" operator="containsText" text="FALSE">
      <formula>NOT(ISERROR(SEARCH("FALSE",A57)))</formula>
    </cfRule>
    <cfRule type="cellIs" dxfId="4" priority="6" operator="equal">
      <formula>TRUE</formula>
    </cfRule>
  </conditionalFormatting>
  <conditionalFormatting sqref="R57:T57">
    <cfRule type="containsText" dxfId="3" priority="1" operator="containsText" text="FALSE">
      <formula>NOT(ISERROR(SEARCH("FALSE",R57)))</formula>
    </cfRule>
    <cfRule type="cellIs" dxfId="2" priority="2" operator="equal">
      <formula>TRUE</formula>
    </cfRule>
  </conditionalFormatting>
  <pageMargins left="0.7" right="0.7" top="0.75" bottom="0.75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87041" r:id="rId3" name="Check Box 1">
              <controlPr defaultSize="0" autoFill="0" autoLine="0" autoPict="0" macro="[1]!CheckBox2_Click">
                <anchor moveWithCells="1">
                  <from>
                    <xdr:col>6</xdr:col>
                    <xdr:colOff>676275</xdr:colOff>
                    <xdr:row>3</xdr:row>
                    <xdr:rowOff>85725</xdr:rowOff>
                  </from>
                  <to>
                    <xdr:col>7</xdr:col>
                    <xdr:colOff>571500</xdr:colOff>
                    <xdr:row>4</xdr:row>
                    <xdr:rowOff>123825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8C2D2E-5001-4B89-8E26-841891CCCD28}">
  <dimension ref="A1:T71"/>
  <sheetViews>
    <sheetView zoomScale="70" zoomScaleNormal="70" workbookViewId="0"/>
  </sheetViews>
  <sheetFormatPr defaultColWidth="8.85546875" defaultRowHeight="15" outlineLevelRow="1" outlineLevelCol="1" x14ac:dyDescent="0.25"/>
  <cols>
    <col min="1" max="1" width="1.140625" style="315" customWidth="1"/>
    <col min="2" max="2" width="3.85546875" style="315" customWidth="1"/>
    <col min="3" max="3" width="3.42578125" style="315" customWidth="1"/>
    <col min="4" max="4" width="50.140625" style="315" customWidth="1"/>
    <col min="5" max="7" width="13.5703125" style="315" customWidth="1" outlineLevel="1"/>
    <col min="8" max="10" width="14.5703125" style="315" customWidth="1"/>
    <col min="11" max="12" width="15" style="315" customWidth="1"/>
    <col min="13" max="20" width="15.85546875" style="315" customWidth="1"/>
    <col min="21" max="16384" width="8.85546875" style="315"/>
  </cols>
  <sheetData>
    <row r="1" spans="1:20" x14ac:dyDescent="0.25">
      <c r="E1" s="315" t="s">
        <v>512</v>
      </c>
      <c r="F1" s="316" t="b">
        <v>1</v>
      </c>
    </row>
    <row r="2" spans="1:20" x14ac:dyDescent="0.25">
      <c r="B2" s="316" t="e">
        <v>#REF!</v>
      </c>
      <c r="E2" s="315" t="s">
        <v>513</v>
      </c>
      <c r="F2" s="317">
        <v>1</v>
      </c>
      <c r="H2" s="318">
        <v>41275</v>
      </c>
      <c r="I2" s="318">
        <v>41640</v>
      </c>
      <c r="J2" s="318">
        <v>42005</v>
      </c>
      <c r="K2" s="318">
        <v>42370</v>
      </c>
      <c r="L2" s="318">
        <v>42736</v>
      </c>
      <c r="M2" s="319">
        <f>L3+1</f>
        <v>43101</v>
      </c>
      <c r="N2" s="319">
        <f t="shared" ref="N2:T2" si="0">M3+1</f>
        <v>43466</v>
      </c>
      <c r="O2" s="319">
        <f t="shared" si="0"/>
        <v>43831</v>
      </c>
      <c r="P2" s="319">
        <f t="shared" si="0"/>
        <v>44197</v>
      </c>
      <c r="Q2" s="319">
        <f t="shared" si="0"/>
        <v>44562</v>
      </c>
      <c r="R2" s="319">
        <f t="shared" si="0"/>
        <v>44927</v>
      </c>
      <c r="S2" s="319">
        <f t="shared" si="0"/>
        <v>45292</v>
      </c>
      <c r="T2" s="319">
        <f t="shared" si="0"/>
        <v>45658</v>
      </c>
    </row>
    <row r="3" spans="1:20" x14ac:dyDescent="0.25">
      <c r="B3" s="315" t="s">
        <v>514</v>
      </c>
      <c r="E3" s="315" t="s">
        <v>515</v>
      </c>
      <c r="F3" s="320">
        <v>2012</v>
      </c>
      <c r="H3" s="318">
        <v>41639</v>
      </c>
      <c r="I3" s="318">
        <v>42004</v>
      </c>
      <c r="J3" s="318">
        <v>42369</v>
      </c>
      <c r="K3" s="318">
        <v>42735</v>
      </c>
      <c r="L3" s="318">
        <v>43100</v>
      </c>
      <c r="M3" s="319">
        <f>EDATE(M2,12)-1</f>
        <v>43465</v>
      </c>
      <c r="N3" s="319">
        <f t="shared" ref="N3:T3" si="1">EDATE(N2,12)-1</f>
        <v>43830</v>
      </c>
      <c r="O3" s="319">
        <f t="shared" si="1"/>
        <v>44196</v>
      </c>
      <c r="P3" s="319">
        <f t="shared" si="1"/>
        <v>44561</v>
      </c>
      <c r="Q3" s="319">
        <f t="shared" si="1"/>
        <v>44926</v>
      </c>
      <c r="R3" s="319">
        <f t="shared" si="1"/>
        <v>45291</v>
      </c>
      <c r="S3" s="319">
        <f t="shared" si="1"/>
        <v>45657</v>
      </c>
      <c r="T3" s="319">
        <f t="shared" si="1"/>
        <v>46022</v>
      </c>
    </row>
    <row r="4" spans="1:20" x14ac:dyDescent="0.25">
      <c r="C4" s="315" t="s">
        <v>516</v>
      </c>
      <c r="E4" s="315" t="s">
        <v>517</v>
      </c>
      <c r="F4" s="316">
        <v>2016</v>
      </c>
      <c r="H4" s="316" t="b">
        <v>1</v>
      </c>
      <c r="I4" s="316" t="b">
        <v>1</v>
      </c>
      <c r="J4" s="316" t="b">
        <v>1</v>
      </c>
      <c r="K4" s="316" t="b">
        <v>1</v>
      </c>
      <c r="L4" s="316" t="b">
        <v>0</v>
      </c>
    </row>
    <row r="5" spans="1:20" x14ac:dyDescent="0.25">
      <c r="C5" s="315" t="s">
        <v>518</v>
      </c>
      <c r="F5" s="318">
        <v>42735</v>
      </c>
      <c r="H5" s="316" t="b">
        <v>0</v>
      </c>
      <c r="I5" s="316" t="b">
        <v>0</v>
      </c>
      <c r="J5" s="316" t="b">
        <v>0</v>
      </c>
      <c r="K5" s="316" t="b">
        <v>0</v>
      </c>
      <c r="L5" s="316" t="b">
        <v>1</v>
      </c>
    </row>
    <row r="6" spans="1:20" x14ac:dyDescent="0.25">
      <c r="C6" s="315" t="s">
        <v>519</v>
      </c>
      <c r="E6" s="315" t="s">
        <v>520</v>
      </c>
      <c r="F6" s="316">
        <v>2017</v>
      </c>
      <c r="H6" s="316" t="b">
        <v>1</v>
      </c>
      <c r="I6" s="316" t="b">
        <v>1</v>
      </c>
      <c r="J6" s="316" t="b">
        <v>1</v>
      </c>
      <c r="K6" s="316" t="b">
        <v>1</v>
      </c>
      <c r="L6" s="316" t="b">
        <v>1</v>
      </c>
    </row>
    <row r="7" spans="1:20" x14ac:dyDescent="0.25">
      <c r="H7" s="321"/>
      <c r="I7" s="321"/>
      <c r="J7" s="321"/>
      <c r="K7" s="321"/>
    </row>
    <row r="8" spans="1:20" s="322" customFormat="1" x14ac:dyDescent="0.25">
      <c r="A8" s="322" t="s">
        <v>504</v>
      </c>
    </row>
    <row r="9" spans="1:20" x14ac:dyDescent="0.25">
      <c r="B9" s="315" t="s">
        <v>521</v>
      </c>
    </row>
    <row r="10" spans="1:20" x14ac:dyDescent="0.25">
      <c r="B10" s="319" t="s">
        <v>522</v>
      </c>
      <c r="H10" s="315" t="s">
        <v>524</v>
      </c>
      <c r="I10" s="315" t="s">
        <v>525</v>
      </c>
      <c r="J10" s="315" t="s">
        <v>526</v>
      </c>
      <c r="K10" s="315" t="s">
        <v>527</v>
      </c>
    </row>
    <row r="11" spans="1:20" x14ac:dyDescent="0.25">
      <c r="B11" s="315" t="s">
        <v>523</v>
      </c>
      <c r="H11" s="323">
        <v>2013</v>
      </c>
      <c r="I11" s="323">
        <v>2014</v>
      </c>
      <c r="J11" s="323">
        <v>2015</v>
      </c>
      <c r="K11" s="323">
        <v>2016</v>
      </c>
      <c r="L11" s="323">
        <v>2017</v>
      </c>
      <c r="M11" s="324">
        <v>2018</v>
      </c>
      <c r="N11" s="324">
        <v>2019</v>
      </c>
      <c r="O11" s="324">
        <v>2020</v>
      </c>
      <c r="P11" s="324">
        <v>2021</v>
      </c>
      <c r="Q11" s="324">
        <v>2022</v>
      </c>
      <c r="R11" s="325" t="s">
        <v>571</v>
      </c>
      <c r="S11" s="325" t="s">
        <v>572</v>
      </c>
      <c r="T11" s="325" t="s">
        <v>573</v>
      </c>
    </row>
    <row r="12" spans="1:20" x14ac:dyDescent="0.25">
      <c r="C12" s="315" t="s">
        <v>505</v>
      </c>
      <c r="H12" s="323"/>
      <c r="I12" s="323"/>
      <c r="J12" s="323"/>
      <c r="K12" s="323"/>
      <c r="L12" s="324"/>
      <c r="M12" s="324"/>
      <c r="N12" s="324"/>
      <c r="O12" s="324"/>
      <c r="P12" s="324"/>
      <c r="Q12" s="324"/>
    </row>
    <row r="13" spans="1:20" x14ac:dyDescent="0.25">
      <c r="D13" s="315" t="s">
        <v>506</v>
      </c>
      <c r="H13" s="326">
        <f>'HCI BS Data'!B24</f>
        <v>293.39801</v>
      </c>
      <c r="I13" s="326">
        <f>'HCI BS Data'!C24</f>
        <v>314.41598499999998</v>
      </c>
      <c r="J13" s="326">
        <f>'HCI BS Data'!D24</f>
        <v>267.73800699999998</v>
      </c>
      <c r="K13" s="326">
        <f>'HCI BS Data'!E24</f>
        <v>280.53100599999999</v>
      </c>
      <c r="L13" s="326">
        <f>'HCI BS Data'!F24</f>
        <v>255.88400300000001</v>
      </c>
      <c r="M13" s="326">
        <f>'HCI BS Data'!G24</f>
        <v>239.45799299999999</v>
      </c>
      <c r="N13" s="326">
        <f>'HCI BS Data'!H24</f>
        <v>229.21800200000001</v>
      </c>
      <c r="O13" s="326">
        <f>'HCI BS Data'!I24</f>
        <v>431.341003</v>
      </c>
      <c r="P13" s="326">
        <f>'HCI BS Data'!J24</f>
        <v>628.942993</v>
      </c>
      <c r="Q13" s="326">
        <f>'HCI BS Data'!K24</f>
        <v>234.86300700000001</v>
      </c>
      <c r="R13" s="329">
        <f>Q13+'API - BEAR'!M128</f>
        <v>264.84990973161769</v>
      </c>
      <c r="S13" s="329">
        <f>R13+'API - BEAR'!N128</f>
        <v>280.82131326407199</v>
      </c>
      <c r="T13" s="329">
        <f>S13+'API - BEAR'!O128</f>
        <v>297.43638249168862</v>
      </c>
    </row>
    <row r="14" spans="1:20" ht="15.75" thickBot="1" x14ac:dyDescent="0.3">
      <c r="D14" s="327" t="s">
        <v>507</v>
      </c>
      <c r="E14" s="327"/>
      <c r="F14" s="327"/>
      <c r="G14" s="327"/>
      <c r="H14" s="328">
        <f>'HCI BS Data'!B11</f>
        <v>146.02799999999999</v>
      </c>
      <c r="I14" s="328">
        <f>'HCI BS Data'!C11</f>
        <v>168.79899599999999</v>
      </c>
      <c r="J14" s="328">
        <f>'HCI BS Data'!D11</f>
        <v>232.91700700000001</v>
      </c>
      <c r="K14" s="328">
        <f>'HCI BS Data'!E11</f>
        <v>298.73400900000001</v>
      </c>
      <c r="L14" s="328">
        <f>'HCI BS Data'!F11</f>
        <v>380.28601099999997</v>
      </c>
      <c r="M14" s="328">
        <f>'HCI BS Data'!G11</f>
        <v>387.78298999999998</v>
      </c>
      <c r="N14" s="328">
        <f>'HCI BS Data'!H11</f>
        <v>341.48599200000001</v>
      </c>
      <c r="O14" s="328">
        <f>'HCI BS Data'!I11</f>
        <v>225.720001</v>
      </c>
      <c r="P14" s="328">
        <f>'HCI BS Data'!J11</f>
        <v>196.71499600000001</v>
      </c>
      <c r="Q14" s="328">
        <f>'HCI BS Data'!K11</f>
        <v>615.59198000000004</v>
      </c>
      <c r="R14" s="353">
        <f>R26*R57</f>
        <v>612.24007680000011</v>
      </c>
      <c r="S14" s="353">
        <f>S26*S57</f>
        <v>673.46408448000022</v>
      </c>
      <c r="T14" s="353">
        <f>T26*T57</f>
        <v>740.81049292800026</v>
      </c>
    </row>
    <row r="15" spans="1:20" x14ac:dyDescent="0.25">
      <c r="D15" s="315" t="s">
        <v>508</v>
      </c>
      <c r="H15" s="326">
        <f>'HCI BS Data'!B28</f>
        <v>14.673999999999999</v>
      </c>
      <c r="I15" s="326">
        <f>'HCI BS Data'!C28</f>
        <v>15.824</v>
      </c>
      <c r="J15" s="326">
        <f>'HCI BS Data'!D28</f>
        <v>19.631001000000001</v>
      </c>
      <c r="K15" s="326">
        <f>'HCI BS Data'!E28</f>
        <v>17.275998999999999</v>
      </c>
      <c r="L15" s="326">
        <f>'HCI BS Data'!F28</f>
        <v>17.806999000000001</v>
      </c>
      <c r="M15" s="326">
        <f>'HCI BS Data'!G28</f>
        <v>16.667000000000002</v>
      </c>
      <c r="N15" s="326">
        <f>'HCI BS Data'!H28</f>
        <v>20.254999000000002</v>
      </c>
      <c r="O15" s="326">
        <f>'HCI BS Data'!I28</f>
        <v>68.382003999999995</v>
      </c>
      <c r="P15" s="326">
        <f>'HCI BS Data'!J28</f>
        <v>68.156998000000002</v>
      </c>
      <c r="Q15" s="326">
        <f>'HCI BS Data'!K28</f>
        <v>34.998001000000002</v>
      </c>
      <c r="R15" s="329">
        <f>'API - BEAR'!M23*R58</f>
        <v>38.515923964780129</v>
      </c>
      <c r="S15" s="329">
        <f>'API - BEAR'!N23*S58</f>
        <v>42.367516361258147</v>
      </c>
      <c r="T15" s="329">
        <f>'API - BEAR'!O23*T58</f>
        <v>46.604267997383964</v>
      </c>
    </row>
    <row r="16" spans="1:20" x14ac:dyDescent="0.25">
      <c r="D16" s="315" t="s">
        <v>528</v>
      </c>
      <c r="H16" s="326">
        <f>'HCI BS Data'!B37</f>
        <v>13.132</v>
      </c>
      <c r="I16" s="326">
        <f>'HCI BS Data'!C37</f>
        <v>12.292</v>
      </c>
      <c r="J16" s="326">
        <f>'HCI BS Data'!D37</f>
        <v>11.786</v>
      </c>
      <c r="K16" s="326">
        <f>'HCI BS Data'!E37</f>
        <v>11.374000000000001</v>
      </c>
      <c r="L16" s="326">
        <f>'HCI BS Data'!F37</f>
        <v>12.465</v>
      </c>
      <c r="M16" s="326">
        <f>'HCI BS Data'!G37</f>
        <v>13.337999999999999</v>
      </c>
      <c r="N16" s="326">
        <f>'HCI BS Data'!H37</f>
        <v>14.698</v>
      </c>
      <c r="O16" s="326">
        <f>'HCI BS Data'!I37</f>
        <v>12.766999999999999</v>
      </c>
      <c r="P16" s="326">
        <f>'HCI BS Data'!J37</f>
        <v>14.231999999999999</v>
      </c>
      <c r="Q16" s="326">
        <f>'HCI BS Data'!K37</f>
        <v>17.91</v>
      </c>
      <c r="R16" s="329">
        <f>'API - BEAR'!M23*R59</f>
        <v>25.510003200000003</v>
      </c>
      <c r="S16" s="329">
        <f>'API - BEAR'!N23*S59</f>
        <v>28.061003520000011</v>
      </c>
      <c r="T16" s="329">
        <f>'API - BEAR'!O23*T59</f>
        <v>30.867103872000008</v>
      </c>
    </row>
    <row r="17" spans="3:20" x14ac:dyDescent="0.25">
      <c r="D17" s="315" t="s">
        <v>559</v>
      </c>
      <c r="H17" s="326">
        <v>0</v>
      </c>
      <c r="I17" s="326">
        <v>0</v>
      </c>
      <c r="J17" s="326">
        <v>0</v>
      </c>
      <c r="K17" s="326">
        <v>0</v>
      </c>
      <c r="L17" s="326">
        <f>'HCI BS Data'!F33</f>
        <v>103.104004</v>
      </c>
      <c r="M17" s="326">
        <f>'HCI BS Data'!G33</f>
        <v>123.91100299999999</v>
      </c>
      <c r="N17" s="326">
        <f>'HCI BS Data'!H33</f>
        <v>132.678009</v>
      </c>
      <c r="O17" s="326">
        <f>'HCI BS Data'!I33</f>
        <v>85.145995999999997</v>
      </c>
      <c r="P17" s="326">
        <f>'HCI BS Data'!J33</f>
        <v>76.650002000000001</v>
      </c>
      <c r="Q17" s="326">
        <f>'HCI BS Data'!K33</f>
        <v>688.35900900000001</v>
      </c>
      <c r="R17" s="329">
        <f>R26*R60</f>
        <v>612.24007680000011</v>
      </c>
      <c r="S17" s="329">
        <f t="shared" ref="S17:T17" si="2">S26*S60</f>
        <v>673.46408448000022</v>
      </c>
      <c r="T17" s="329">
        <f t="shared" si="2"/>
        <v>740.81049292800026</v>
      </c>
    </row>
    <row r="18" spans="3:20" x14ac:dyDescent="0.25">
      <c r="D18" s="315" t="s">
        <v>560</v>
      </c>
      <c r="H18" s="326">
        <f>'HCI BS Data'!B36</f>
        <v>14.071</v>
      </c>
      <c r="I18" s="326">
        <f>'HCI BS Data'!C36</f>
        <v>15.013999999999999</v>
      </c>
      <c r="J18" s="326">
        <f>'HCI BS Data'!D36</f>
        <v>18.601998999999999</v>
      </c>
      <c r="K18" s="326">
        <f>'HCI BS Data'!E36</f>
        <v>16.638999999999999</v>
      </c>
      <c r="L18" s="326">
        <f>'HCI BS Data'!F36</f>
        <v>16.712</v>
      </c>
      <c r="M18" s="326">
        <f>'HCI BS Data'!G36</f>
        <v>16.507000000000001</v>
      </c>
      <c r="N18" s="326">
        <f>'HCI BS Data'!H36</f>
        <v>21.663</v>
      </c>
      <c r="O18" s="326">
        <f>'HCI BS Data'!I36</f>
        <v>43.858001999999999</v>
      </c>
      <c r="P18" s="326">
        <f>'HCI BS Data'!J36</f>
        <v>57.695</v>
      </c>
      <c r="Q18" s="326">
        <f>'HCI BS Data'!K36</f>
        <v>45.521999000000001</v>
      </c>
      <c r="R18" s="329">
        <f>'API - BEAR'!M23*R61</f>
        <v>51.020006400000007</v>
      </c>
      <c r="S18" s="329">
        <f>'API - BEAR'!N23*S61</f>
        <v>56.122007040000021</v>
      </c>
      <c r="T18" s="329">
        <f>'API - BEAR'!O23*T61</f>
        <v>61.734207744000017</v>
      </c>
    </row>
    <row r="19" spans="3:20" x14ac:dyDescent="0.25">
      <c r="D19" s="315" t="s">
        <v>561</v>
      </c>
      <c r="H19" s="326">
        <f>'HCI BS Data'!B32</f>
        <v>28.065999999999999</v>
      </c>
      <c r="I19" s="326">
        <f>'HCI BS Data'!C32</f>
        <v>34.096001000000001</v>
      </c>
      <c r="J19" s="326">
        <f>'HCI BS Data'!D32</f>
        <v>40.747002000000002</v>
      </c>
      <c r="K19" s="326">
        <f>'HCI BS Data'!E32</f>
        <v>24.554001</v>
      </c>
      <c r="L19" s="326">
        <f>'HCI BS Data'!F32</f>
        <v>22.285999</v>
      </c>
      <c r="M19" s="326">
        <f>'HCI BS Data'!G32</f>
        <v>17.931999000000001</v>
      </c>
      <c r="N19" s="326">
        <f>'HCI BS Data'!H32</f>
        <v>17.983000000000001</v>
      </c>
      <c r="O19" s="326">
        <f>'HCI BS Data'!I32</f>
        <v>36.375999</v>
      </c>
      <c r="P19" s="326">
        <f>'HCI BS Data'!J32</f>
        <v>26.355</v>
      </c>
      <c r="Q19" s="326">
        <f>'HCI BS Data'!K32</f>
        <v>66.626998999999998</v>
      </c>
      <c r="R19" s="329">
        <f>'API - BEAR'!M23*R62</f>
        <v>71.428008960000014</v>
      </c>
      <c r="S19" s="329">
        <f>'API - BEAR'!N23*S62</f>
        <v>78.570809856000025</v>
      </c>
      <c r="T19" s="329">
        <f>'API - BEAR'!O23*T62</f>
        <v>86.427890841600032</v>
      </c>
    </row>
    <row r="20" spans="3:20" x14ac:dyDescent="0.25">
      <c r="D20" s="315" t="s">
        <v>529</v>
      </c>
      <c r="H20" s="326" t="str">
        <f>'HCI BS Data'!B42</f>
        <v>-</v>
      </c>
      <c r="I20" s="326" t="str">
        <f>'HCI BS Data'!C42</f>
        <v>-</v>
      </c>
      <c r="J20" s="326">
        <f>'HCI BS Data'!D42</f>
        <v>0</v>
      </c>
      <c r="K20" s="326">
        <f>'HCI BS Data'!E42</f>
        <v>4.899</v>
      </c>
      <c r="L20" s="326">
        <f>'HCI BS Data'!F42</f>
        <v>4.9950000000000001</v>
      </c>
      <c r="M20" s="326">
        <f>'HCI BS Data'!G42</f>
        <v>4.8</v>
      </c>
      <c r="N20" s="326">
        <f>'HCI BS Data'!H42</f>
        <v>4.1920000000000002</v>
      </c>
      <c r="O20" s="326">
        <f>'HCI BS Data'!I42</f>
        <v>3.5680000000000001</v>
      </c>
      <c r="P20" s="326">
        <f>'HCI BS Data'!J42</f>
        <v>10.635999999999999</v>
      </c>
      <c r="Q20" s="326">
        <f>'HCI BS Data'!K42</f>
        <v>10.577999999999999</v>
      </c>
      <c r="R20" s="341">
        <f>Q20</f>
        <v>10.577999999999999</v>
      </c>
      <c r="S20" s="341">
        <f t="shared" ref="S20:T20" si="3">R20</f>
        <v>10.577999999999999</v>
      </c>
      <c r="T20" s="341">
        <f t="shared" si="3"/>
        <v>10.577999999999999</v>
      </c>
    </row>
    <row r="21" spans="3:20" x14ac:dyDescent="0.25">
      <c r="D21" s="315" t="s">
        <v>294</v>
      </c>
      <c r="H21" s="326" t="str">
        <f>'HCI BS Data'!B44</f>
        <v>-</v>
      </c>
      <c r="I21" s="326" t="str">
        <f>'HCI BS Data'!C44</f>
        <v>-</v>
      </c>
      <c r="J21" s="326" t="str">
        <f>'HCI BS Data'!D44</f>
        <v>-</v>
      </c>
      <c r="K21" s="326" t="str">
        <f>'HCI BS Data'!E44</f>
        <v>-</v>
      </c>
      <c r="L21" s="326" t="str">
        <f>'HCI BS Data'!F44</f>
        <v>-</v>
      </c>
      <c r="M21" s="326" t="str">
        <f>'HCI BS Data'!G44</f>
        <v>-</v>
      </c>
      <c r="N21" s="326" t="str">
        <f>'HCI BS Data'!H44</f>
        <v>-</v>
      </c>
      <c r="O21" s="326">
        <f>'HCI BS Data'!I44</f>
        <v>0</v>
      </c>
      <c r="P21" s="326">
        <f>'HCI BS Data'!J44</f>
        <v>73.716003000000001</v>
      </c>
      <c r="Q21" s="326">
        <f>'HCI BS Data'!K44</f>
        <v>48.771999000000001</v>
      </c>
      <c r="R21" s="341">
        <f>Q21*1.1</f>
        <v>53.649198900000009</v>
      </c>
      <c r="S21" s="341">
        <f t="shared" ref="S21:T22" si="4">R21*1.1</f>
        <v>59.014118790000012</v>
      </c>
      <c r="T21" s="341">
        <f t="shared" si="4"/>
        <v>64.91553066900002</v>
      </c>
    </row>
    <row r="22" spans="3:20" x14ac:dyDescent="0.25">
      <c r="D22" s="315" t="s">
        <v>236</v>
      </c>
      <c r="H22" s="326">
        <f>'HCI BS Data'!B45</f>
        <v>16.946999999999999</v>
      </c>
      <c r="I22" s="326">
        <f>'HCI BS Data'!C45</f>
        <v>38.116</v>
      </c>
      <c r="J22" s="326">
        <f>'HCI BS Data'!D45</f>
        <v>45.564997999999996</v>
      </c>
      <c r="K22" s="326">
        <f>'HCI BS Data'!E45</f>
        <v>16.057000000000002</v>
      </c>
      <c r="L22" s="326">
        <f>'HCI BS Data'!F45</f>
        <v>28.724999</v>
      </c>
      <c r="M22" s="326">
        <f>'HCI BS Data'!G45</f>
        <v>12.466999999999999</v>
      </c>
      <c r="N22" s="326">
        <f>'HCI BS Data'!H45</f>
        <v>20.435999999999996</v>
      </c>
      <c r="O22" s="326">
        <f>'HCI BS Data'!I45</f>
        <v>34.154998999999997</v>
      </c>
      <c r="P22" s="326">
        <f>'HCI BS Data'!J45</f>
        <v>23.757999999999999</v>
      </c>
      <c r="Q22" s="326">
        <f>'HCI BS Data'!K45</f>
        <v>40.106997999999997</v>
      </c>
      <c r="R22" s="341">
        <f>Q22*1.1</f>
        <v>44.117697800000002</v>
      </c>
      <c r="S22" s="341">
        <f t="shared" si="4"/>
        <v>48.529467580000009</v>
      </c>
      <c r="T22" s="341">
        <f t="shared" si="4"/>
        <v>53.382414338000018</v>
      </c>
    </row>
    <row r="23" spans="3:20" ht="15.75" thickBot="1" x14ac:dyDescent="0.3">
      <c r="D23" s="327" t="s">
        <v>144</v>
      </c>
      <c r="E23" s="327"/>
      <c r="F23" s="327"/>
      <c r="G23" s="327"/>
      <c r="H23" s="328">
        <f>SUM(H13:H22)</f>
        <v>526.31601000000001</v>
      </c>
      <c r="I23" s="328">
        <f t="shared" ref="I23:Q23" si="5">SUM(I13:I22)</f>
        <v>598.55698199999995</v>
      </c>
      <c r="J23" s="328">
        <f t="shared" si="5"/>
        <v>636.98601399999984</v>
      </c>
      <c r="K23" s="328">
        <f t="shared" si="5"/>
        <v>670.06401499999993</v>
      </c>
      <c r="L23" s="328">
        <f t="shared" si="5"/>
        <v>842.26401500000009</v>
      </c>
      <c r="M23" s="328">
        <f t="shared" si="5"/>
        <v>832.86298499999987</v>
      </c>
      <c r="N23" s="328">
        <f t="shared" si="5"/>
        <v>802.60900199999992</v>
      </c>
      <c r="O23" s="328">
        <f t="shared" si="5"/>
        <v>941.31300399999986</v>
      </c>
      <c r="P23" s="328">
        <f t="shared" si="5"/>
        <v>1176.856992</v>
      </c>
      <c r="Q23" s="328">
        <f t="shared" si="5"/>
        <v>1803.3279920000002</v>
      </c>
      <c r="R23" s="353">
        <f>SUM(R13:R22)</f>
        <v>1784.1489025563983</v>
      </c>
      <c r="S23" s="353">
        <f t="shared" ref="S23:T23" si="6">SUM(S13:S22)</f>
        <v>1950.9924053713307</v>
      </c>
      <c r="T23" s="353">
        <f t="shared" si="6"/>
        <v>2133.5667838096733</v>
      </c>
    </row>
    <row r="24" spans="3:20" x14ac:dyDescent="0.25">
      <c r="H24" s="330"/>
      <c r="I24" s="330"/>
      <c r="J24" s="330"/>
      <c r="K24" s="330"/>
      <c r="L24" s="330"/>
      <c r="M24" s="324"/>
      <c r="N24" s="324"/>
      <c r="O24" s="324"/>
      <c r="P24" s="324"/>
      <c r="Q24" s="324"/>
    </row>
    <row r="25" spans="3:20" x14ac:dyDescent="0.25">
      <c r="C25" s="315" t="s">
        <v>511</v>
      </c>
      <c r="H25" s="330"/>
      <c r="I25" s="330"/>
      <c r="J25" s="330"/>
      <c r="K25" s="330"/>
      <c r="L25" s="324"/>
      <c r="M25" s="324"/>
      <c r="N25" s="324"/>
      <c r="O25" s="324"/>
      <c r="P25" s="324"/>
      <c r="Q25" s="324"/>
    </row>
    <row r="26" spans="3:20" x14ac:dyDescent="0.25">
      <c r="D26" s="315" t="s">
        <v>563</v>
      </c>
      <c r="H26" s="326">
        <f>'HCI BS Data'!B48</f>
        <v>43.686000999999997</v>
      </c>
      <c r="I26" s="326">
        <f>'HCI BS Data'!C48</f>
        <v>48.908000999999999</v>
      </c>
      <c r="J26" s="326">
        <f>'HCI BS Data'!D48</f>
        <v>51.689999</v>
      </c>
      <c r="K26" s="326">
        <f>'HCI BS Data'!E48</f>
        <v>70.491996999999998</v>
      </c>
      <c r="L26" s="326">
        <f>'HCI BS Data'!F48</f>
        <v>198.578003</v>
      </c>
      <c r="M26" s="326">
        <f>'HCI BS Data'!G48</f>
        <v>207.58599899999999</v>
      </c>
      <c r="N26" s="326">
        <f>'HCI BS Data'!H48</f>
        <v>214.69700599999999</v>
      </c>
      <c r="O26" s="326">
        <f>'HCI BS Data'!I48</f>
        <v>212.169006</v>
      </c>
      <c r="P26" s="326">
        <f>'HCI BS Data'!J48</f>
        <v>237.16499300000001</v>
      </c>
      <c r="Q26" s="326">
        <f>'HCI BS Data'!K48</f>
        <v>863.76501499999995</v>
      </c>
      <c r="R26" s="329">
        <f>'API - BEAR'!M23*'BS - BEAR'!R64</f>
        <v>765.30009600000005</v>
      </c>
      <c r="S26" s="329">
        <f>'API - BEAR'!N23*'BS - BEAR'!S64</f>
        <v>841.83010560000025</v>
      </c>
      <c r="T26" s="329">
        <f>'API - BEAR'!O23*'BS - BEAR'!T64</f>
        <v>926.01311616000021</v>
      </c>
    </row>
    <row r="27" spans="3:20" x14ac:dyDescent="0.25">
      <c r="D27" s="315" t="s">
        <v>530</v>
      </c>
      <c r="H27" s="326">
        <f>'HCI BS Data'!B49</f>
        <v>171.90699799999999</v>
      </c>
      <c r="I27" s="326">
        <f>'HCI BS Data'!C49</f>
        <v>214.070999</v>
      </c>
      <c r="J27" s="326">
        <f>'HCI BS Data'!D49</f>
        <v>187.28999300000001</v>
      </c>
      <c r="K27" s="326">
        <f>'HCI BS Data'!E49</f>
        <v>175.80299400000001</v>
      </c>
      <c r="L27" s="326">
        <f>'HCI BS Data'!F49</f>
        <v>164.895996</v>
      </c>
      <c r="M27" s="326">
        <f>'HCI BS Data'!G49</f>
        <v>157.729004</v>
      </c>
      <c r="N27" s="326">
        <f>'HCI BS Data'!H49</f>
        <v>181.162994</v>
      </c>
      <c r="O27" s="326">
        <f>'HCI BS Data'!I49</f>
        <v>269.39898699999998</v>
      </c>
      <c r="P27" s="326">
        <f>'HCI BS Data'!J49</f>
        <v>366.743988</v>
      </c>
      <c r="Q27" s="326">
        <f>'HCI BS Data'!K49</f>
        <v>368.04699699999998</v>
      </c>
      <c r="R27" s="329">
        <f>'API - BEAR'!M23*R65</f>
        <v>413.26205184000008</v>
      </c>
      <c r="S27" s="329">
        <f>'API - BEAR'!N23*S65</f>
        <v>454.58825702400014</v>
      </c>
      <c r="T27" s="329">
        <f>'API - BEAR'!O23*T65</f>
        <v>500.04708272640016</v>
      </c>
    </row>
    <row r="28" spans="3:20" x14ac:dyDescent="0.25">
      <c r="D28" s="315" t="s">
        <v>564</v>
      </c>
      <c r="H28" s="326">
        <f>'HCI BS Data'!B51</f>
        <v>8.5359999999999996</v>
      </c>
      <c r="I28" s="326">
        <f>'HCI BS Data'!C51</f>
        <v>9.2059999999999995</v>
      </c>
      <c r="J28" s="326">
        <f>'HCI BS Data'!D51</f>
        <v>11.298999999999999</v>
      </c>
      <c r="K28" s="326">
        <f>'HCI BS Data'!E51</f>
        <v>11.164</v>
      </c>
      <c r="L28" s="326">
        <f>'HCI BS Data'!F51</f>
        <v>10.983000000000001</v>
      </c>
      <c r="M28" s="326">
        <f>'HCI BS Data'!G51</f>
        <v>12.674999</v>
      </c>
      <c r="N28" s="326">
        <f>'HCI BS Data'!H51</f>
        <v>15.648001000000001</v>
      </c>
      <c r="O28" s="326">
        <f>'HCI BS Data'!I51</f>
        <v>21.550999000000001</v>
      </c>
      <c r="P28" s="326">
        <f>'HCI BS Data'!J51</f>
        <v>29.223998999999999</v>
      </c>
      <c r="Q28" s="326">
        <f>'HCI BS Data'!K51</f>
        <v>33.121001999999997</v>
      </c>
      <c r="R28" s="329">
        <f>Q28*1.1</f>
        <v>36.4331022</v>
      </c>
      <c r="S28" s="329">
        <f t="shared" ref="S28:T28" si="7">R28*1.1</f>
        <v>40.076412420000004</v>
      </c>
      <c r="T28" s="329">
        <f t="shared" si="7"/>
        <v>44.084053662000009</v>
      </c>
    </row>
    <row r="29" spans="3:20" x14ac:dyDescent="0.25">
      <c r="D29" s="315" t="s">
        <v>149</v>
      </c>
      <c r="H29" s="326">
        <f>'HCI BS Data'!B67</f>
        <v>126.931999</v>
      </c>
      <c r="I29" s="326">
        <f>'HCI BS Data'!C67</f>
        <v>125.886002</v>
      </c>
      <c r="J29" s="326">
        <f>'HCI BS Data'!D67</f>
        <v>129.429001</v>
      </c>
      <c r="K29" s="326">
        <f>'HCI BS Data'!E67</f>
        <v>138.86300700000001</v>
      </c>
      <c r="L29" s="326">
        <f>'HCI BS Data'!F67</f>
        <v>237.83500699999999</v>
      </c>
      <c r="M29" s="326">
        <f>'HCI BS Data'!G67</f>
        <v>250.14999399999999</v>
      </c>
      <c r="N29" s="326">
        <f>'HCI BS Data'!H67</f>
        <v>163.695007</v>
      </c>
      <c r="O29" s="326">
        <f>'HCI BS Data'!I67</f>
        <v>156.51100199999999</v>
      </c>
      <c r="P29" s="326">
        <f>'HCI BS Data'!J67</f>
        <v>45.504002</v>
      </c>
      <c r="Q29" s="326">
        <f>'HCI BS Data'!K67</f>
        <v>211.68699599999999</v>
      </c>
      <c r="R29" s="329">
        <f>R66*R23</f>
        <v>356.82978051127969</v>
      </c>
      <c r="S29" s="329">
        <f>S66*S23</f>
        <v>390.19848107426617</v>
      </c>
      <c r="T29" s="329">
        <f>T66*T23</f>
        <v>426.71335676193468</v>
      </c>
    </row>
    <row r="30" spans="3:20" x14ac:dyDescent="0.25">
      <c r="D30" s="315" t="s">
        <v>565</v>
      </c>
      <c r="H30" s="326" t="str">
        <f>'HCI BS Data'!B63</f>
        <v>-</v>
      </c>
      <c r="I30" s="326" t="str">
        <f>'HCI BS Data'!C63</f>
        <v>-</v>
      </c>
      <c r="J30" s="326" t="str">
        <f>'HCI BS Data'!D63</f>
        <v>-</v>
      </c>
      <c r="K30" s="326" t="str">
        <f>'HCI BS Data'!E63</f>
        <v>-</v>
      </c>
      <c r="L30" s="326" t="str">
        <f>'HCI BS Data'!F63</f>
        <v>-</v>
      </c>
      <c r="M30" s="326" t="str">
        <f>'HCI BS Data'!G63</f>
        <v>-</v>
      </c>
      <c r="N30" s="326" t="str">
        <f>'HCI BS Data'!H63</f>
        <v>-</v>
      </c>
      <c r="O30" s="326" t="str">
        <f>'HCI BS Data'!I63</f>
        <v>-</v>
      </c>
      <c r="P30" s="326">
        <f>'HCI BS Data'!J63</f>
        <v>0</v>
      </c>
      <c r="Q30" s="326">
        <f>'HCI BS Data'!K63</f>
        <v>19.863001000000001</v>
      </c>
      <c r="R30" s="329">
        <f>Q30</f>
        <v>19.863001000000001</v>
      </c>
      <c r="S30" s="329">
        <v>10</v>
      </c>
      <c r="T30" s="329">
        <v>5</v>
      </c>
    </row>
    <row r="31" spans="3:20" x14ac:dyDescent="0.25">
      <c r="D31" s="315" t="s">
        <v>509</v>
      </c>
      <c r="H31" s="326">
        <f>'HCI BS Data'!B68</f>
        <v>14.191000000000001</v>
      </c>
      <c r="I31" s="326">
        <f>'HCI BS Data'!C68</f>
        <v>17.901001000000001</v>
      </c>
      <c r="J31" s="326">
        <f>'HCI BS Data'!D68</f>
        <v>19.556000000000001</v>
      </c>
      <c r="K31" s="326">
        <f>'HCI BS Data'!E68</f>
        <v>29.996000000000002</v>
      </c>
      <c r="L31" s="326">
        <f>'HCI BS Data'!F68</f>
        <v>35.997001000000004</v>
      </c>
      <c r="M31" s="326">
        <f>'HCI BS Data'!G68</f>
        <v>23.282001000000001</v>
      </c>
      <c r="N31" s="326">
        <f>'HCI BS Data'!H68</f>
        <v>41.863000999999997</v>
      </c>
      <c r="O31" s="326">
        <f>'HCI BS Data'!I68</f>
        <v>80.546999999999997</v>
      </c>
      <c r="P31" s="326">
        <f>'HCI BS Data'!J68</f>
        <v>83.762000999999998</v>
      </c>
      <c r="Q31" s="326">
        <f>'HCI BS Data'!K68</f>
        <v>52.038001000000001</v>
      </c>
      <c r="R31" s="329">
        <f>Q31*1.1</f>
        <v>57.241801100000004</v>
      </c>
      <c r="S31" s="329">
        <f t="shared" ref="S31:T31" si="8">R31*1.1</f>
        <v>62.96598121000001</v>
      </c>
      <c r="T31" s="329">
        <f t="shared" si="8"/>
        <v>69.262579331000012</v>
      </c>
    </row>
    <row r="32" spans="3:20" ht="15.75" thickBot="1" x14ac:dyDescent="0.3">
      <c r="D32" s="327" t="s">
        <v>152</v>
      </c>
      <c r="E32" s="327"/>
      <c r="F32" s="327"/>
      <c r="G32" s="327"/>
      <c r="H32" s="328">
        <f t="shared" ref="H32:Q32" si="9">SUM(H26:H31)</f>
        <v>365.25199799999996</v>
      </c>
      <c r="I32" s="328">
        <f t="shared" si="9"/>
        <v>415.97200300000003</v>
      </c>
      <c r="J32" s="328">
        <f t="shared" si="9"/>
        <v>399.26399299999997</v>
      </c>
      <c r="K32" s="328">
        <f t="shared" si="9"/>
        <v>426.31799799999999</v>
      </c>
      <c r="L32" s="328">
        <f t="shared" si="9"/>
        <v>648.28900699999997</v>
      </c>
      <c r="M32" s="328">
        <f t="shared" si="9"/>
        <v>651.42199700000003</v>
      </c>
      <c r="N32" s="328">
        <f t="shared" si="9"/>
        <v>617.06600900000012</v>
      </c>
      <c r="O32" s="328">
        <f t="shared" si="9"/>
        <v>740.17699400000004</v>
      </c>
      <c r="P32" s="328">
        <f t="shared" si="9"/>
        <v>762.39898300000004</v>
      </c>
      <c r="Q32" s="328">
        <f t="shared" si="9"/>
        <v>1548.5210119999997</v>
      </c>
      <c r="R32" s="342">
        <f>SUM(R26:R31)</f>
        <v>1648.9298326512796</v>
      </c>
      <c r="S32" s="342">
        <f t="shared" ref="S32:T32" si="10">SUM(S26:S31)</f>
        <v>1799.6592373282667</v>
      </c>
      <c r="T32" s="342">
        <f t="shared" si="10"/>
        <v>1971.1201886413353</v>
      </c>
    </row>
    <row r="33" spans="1:20" x14ac:dyDescent="0.25">
      <c r="D33" s="315" t="s">
        <v>316</v>
      </c>
      <c r="H33" s="326">
        <v>0</v>
      </c>
      <c r="I33" s="326">
        <v>0</v>
      </c>
      <c r="J33" s="326">
        <v>0</v>
      </c>
      <c r="K33" s="326">
        <v>0</v>
      </c>
      <c r="L33" s="326">
        <v>0</v>
      </c>
      <c r="M33" s="326">
        <v>0</v>
      </c>
      <c r="N33" s="326">
        <v>0</v>
      </c>
      <c r="O33" s="326">
        <v>0</v>
      </c>
      <c r="P33" s="326">
        <f>'HCI BS Data'!J69</f>
        <v>89.955001999999993</v>
      </c>
      <c r="Q33" s="326">
        <f>'HCI BS Data'!K69</f>
        <v>93.553000999999995</v>
      </c>
      <c r="R33" s="329">
        <f>Q33*1.1</f>
        <v>102.9083011</v>
      </c>
      <c r="S33" s="329">
        <f t="shared" ref="S33:T33" si="11">R33*1.1</f>
        <v>113.19913121000002</v>
      </c>
      <c r="T33" s="329">
        <f t="shared" si="11"/>
        <v>124.51904433100003</v>
      </c>
    </row>
    <row r="34" spans="1:20" x14ac:dyDescent="0.25">
      <c r="H34" s="326"/>
      <c r="I34" s="326"/>
      <c r="J34" s="326"/>
      <c r="K34" s="326"/>
      <c r="L34" s="326"/>
      <c r="M34" s="326"/>
      <c r="N34" s="326"/>
      <c r="O34" s="326"/>
      <c r="P34" s="326"/>
      <c r="Q34" s="326"/>
    </row>
    <row r="35" spans="1:20" x14ac:dyDescent="0.25">
      <c r="H35" s="326"/>
      <c r="I35" s="326"/>
      <c r="J35" s="326"/>
      <c r="K35" s="326"/>
      <c r="L35" s="326"/>
      <c r="M35" s="326"/>
      <c r="N35" s="326"/>
      <c r="O35" s="326"/>
      <c r="P35" s="326"/>
      <c r="Q35" s="326"/>
    </row>
    <row r="36" spans="1:20" x14ac:dyDescent="0.25">
      <c r="D36" s="315" t="s">
        <v>510</v>
      </c>
      <c r="H36" s="326">
        <f>H23-H32-H33</f>
        <v>161.06401200000005</v>
      </c>
      <c r="I36" s="326">
        <f t="shared" ref="I36:T36" si="12">I23-I32-I33</f>
        <v>182.58497899999992</v>
      </c>
      <c r="J36" s="326">
        <f t="shared" si="12"/>
        <v>237.72202099999987</v>
      </c>
      <c r="K36" s="326">
        <f t="shared" si="12"/>
        <v>243.74601699999994</v>
      </c>
      <c r="L36" s="326">
        <f t="shared" si="12"/>
        <v>193.97500800000012</v>
      </c>
      <c r="M36" s="326">
        <f t="shared" si="12"/>
        <v>181.44098799999983</v>
      </c>
      <c r="N36" s="326">
        <f t="shared" si="12"/>
        <v>185.5429929999998</v>
      </c>
      <c r="O36" s="326">
        <f t="shared" si="12"/>
        <v>201.13600999999983</v>
      </c>
      <c r="P36" s="326">
        <f>P23-P32-P33</f>
        <v>324.50300699999997</v>
      </c>
      <c r="Q36" s="326">
        <f t="shared" si="12"/>
        <v>161.25397900000053</v>
      </c>
      <c r="R36" s="321">
        <f>R23-R32-R33</f>
        <v>32.310768805118656</v>
      </c>
      <c r="S36" s="321">
        <f t="shared" si="12"/>
        <v>38.134036833063988</v>
      </c>
      <c r="T36" s="321">
        <f t="shared" si="12"/>
        <v>37.927550837338003</v>
      </c>
    </row>
    <row r="37" spans="1:20" x14ac:dyDescent="0.25">
      <c r="H37" s="324"/>
      <c r="I37" s="324"/>
      <c r="J37" s="324"/>
      <c r="K37" s="324"/>
      <c r="L37" s="330">
        <v>0</v>
      </c>
      <c r="M37" s="324"/>
      <c r="N37" s="324"/>
      <c r="O37" s="324"/>
      <c r="P37" s="324"/>
      <c r="Q37" s="324"/>
      <c r="R37" s="344"/>
      <c r="S37" s="344"/>
      <c r="T37" s="344"/>
    </row>
    <row r="38" spans="1:20" x14ac:dyDescent="0.25">
      <c r="D38" s="315" t="s">
        <v>511</v>
      </c>
      <c r="H38" s="326">
        <f>H36+H32</f>
        <v>526.31601000000001</v>
      </c>
      <c r="I38" s="326">
        <f t="shared" ref="I38:O38" si="13">I36+I32</f>
        <v>598.55698199999995</v>
      </c>
      <c r="J38" s="326">
        <f t="shared" si="13"/>
        <v>636.98601399999984</v>
      </c>
      <c r="K38" s="326">
        <f t="shared" si="13"/>
        <v>670.06401499999993</v>
      </c>
      <c r="L38" s="326">
        <f t="shared" si="13"/>
        <v>842.26401500000009</v>
      </c>
      <c r="M38" s="326">
        <f t="shared" si="13"/>
        <v>832.86298499999987</v>
      </c>
      <c r="N38" s="326">
        <f t="shared" si="13"/>
        <v>802.60900199999992</v>
      </c>
      <c r="O38" s="326">
        <f t="shared" si="13"/>
        <v>941.31300399999986</v>
      </c>
      <c r="P38" s="326">
        <f>P36+P32+P33</f>
        <v>1176.856992</v>
      </c>
      <c r="Q38" s="326">
        <f t="shared" ref="Q38:T38" si="14">Q36+Q32+Q33</f>
        <v>1803.3279920000002</v>
      </c>
      <c r="R38" s="321">
        <f t="shared" si="14"/>
        <v>1784.1489025563983</v>
      </c>
      <c r="S38" s="321">
        <f t="shared" si="14"/>
        <v>1950.9924053713307</v>
      </c>
      <c r="T38" s="321">
        <f t="shared" si="14"/>
        <v>2133.5667838096733</v>
      </c>
    </row>
    <row r="39" spans="1:20" x14ac:dyDescent="0.25">
      <c r="H39" s="326"/>
      <c r="I39" s="326"/>
      <c r="J39" s="326"/>
      <c r="K39" s="326"/>
      <c r="L39" s="326"/>
      <c r="M39" s="326"/>
      <c r="N39" s="326"/>
      <c r="O39" s="326"/>
      <c r="P39" s="326"/>
      <c r="Q39" s="326"/>
      <c r="R39" s="321"/>
      <c r="S39" s="321"/>
      <c r="T39" s="321"/>
    </row>
    <row r="40" spans="1:20" x14ac:dyDescent="0.25">
      <c r="H40" s="321"/>
      <c r="I40" s="321"/>
      <c r="J40" s="321"/>
      <c r="K40" s="321"/>
      <c r="L40" s="321"/>
      <c r="M40" s="321"/>
      <c r="N40" s="321"/>
      <c r="O40" s="321"/>
      <c r="P40" s="321"/>
      <c r="Q40" s="321"/>
      <c r="R40" s="321"/>
      <c r="S40" s="321"/>
      <c r="T40" s="321"/>
    </row>
    <row r="41" spans="1:20" x14ac:dyDescent="0.25">
      <c r="D41" s="315" t="s">
        <v>590</v>
      </c>
      <c r="H41" s="321"/>
      <c r="I41" s="321"/>
      <c r="J41" s="321"/>
      <c r="K41" s="321"/>
      <c r="L41" s="321"/>
      <c r="M41" s="321"/>
      <c r="N41" s="321"/>
      <c r="O41" s="321"/>
      <c r="P41" s="321"/>
      <c r="Q41" s="321"/>
      <c r="R41" s="352">
        <v>8.8000000000000007</v>
      </c>
      <c r="S41" s="352">
        <v>8.6999999999999993</v>
      </c>
      <c r="T41" s="352">
        <v>8.6</v>
      </c>
    </row>
    <row r="42" spans="1:20" ht="15.75" thickBot="1" x14ac:dyDescent="0.3">
      <c r="D42" s="327" t="s">
        <v>484</v>
      </c>
      <c r="E42" s="327"/>
      <c r="F42" s="327"/>
      <c r="G42" s="327"/>
      <c r="H42" s="343"/>
      <c r="I42" s="343"/>
      <c r="J42" s="343"/>
      <c r="K42" s="343"/>
      <c r="L42" s="343"/>
      <c r="M42" s="343"/>
      <c r="N42" s="343"/>
      <c r="O42" s="343"/>
      <c r="P42" s="343"/>
      <c r="Q42" s="343"/>
      <c r="R42" s="354">
        <f>R36/R41</f>
        <v>3.6716782733089377</v>
      </c>
      <c r="S42" s="354">
        <f t="shared" ref="S42:T42" si="15">S36/S41</f>
        <v>4.3832226244901138</v>
      </c>
      <c r="T42" s="354">
        <f t="shared" si="15"/>
        <v>4.4101803299230236</v>
      </c>
    </row>
    <row r="43" spans="1:20" x14ac:dyDescent="0.25">
      <c r="H43" s="321"/>
      <c r="I43" s="321"/>
      <c r="J43" s="321"/>
      <c r="K43" s="321"/>
      <c r="L43" s="321"/>
      <c r="M43" s="321"/>
      <c r="N43" s="321"/>
      <c r="O43" s="321"/>
      <c r="P43" s="321"/>
      <c r="Q43" s="321"/>
      <c r="R43" s="321"/>
      <c r="S43" s="321"/>
      <c r="T43" s="321"/>
    </row>
    <row r="44" spans="1:20" x14ac:dyDescent="0.25">
      <c r="H44" s="321"/>
      <c r="I44" s="321"/>
      <c r="J44" s="321"/>
      <c r="K44" s="321"/>
      <c r="R44" s="344"/>
      <c r="S44" s="344"/>
      <c r="T44" s="344"/>
    </row>
    <row r="45" spans="1:20" x14ac:dyDescent="0.25">
      <c r="H45" s="321"/>
      <c r="I45" s="321"/>
      <c r="J45" s="321"/>
      <c r="K45" s="321"/>
    </row>
    <row r="46" spans="1:20" s="331" customFormat="1" x14ac:dyDescent="0.25">
      <c r="A46" s="331" t="s">
        <v>531</v>
      </c>
      <c r="E46" s="332" t="s">
        <v>532</v>
      </c>
      <c r="F46" s="332" t="s">
        <v>533</v>
      </c>
    </row>
    <row r="47" spans="1:20" s="333" customFormat="1" x14ac:dyDescent="0.25">
      <c r="E47" s="334"/>
      <c r="F47" s="334"/>
    </row>
    <row r="48" spans="1:20" x14ac:dyDescent="0.25">
      <c r="C48" s="315" t="s">
        <v>534</v>
      </c>
      <c r="E48" s="335"/>
      <c r="F48" s="336"/>
      <c r="H48" s="335"/>
      <c r="I48" s="335"/>
      <c r="J48" s="335"/>
      <c r="K48" s="335"/>
      <c r="L48" s="335"/>
      <c r="M48" s="335"/>
      <c r="N48" s="335"/>
      <c r="O48" s="335"/>
      <c r="P48" s="335"/>
      <c r="Q48" s="335"/>
      <c r="R48" s="335"/>
      <c r="S48" s="335"/>
      <c r="T48" s="335"/>
    </row>
    <row r="49" spans="3:20" hidden="1" outlineLevel="1" x14ac:dyDescent="0.25">
      <c r="C49" s="315" t="s">
        <v>535</v>
      </c>
      <c r="H49" s="337">
        <f>IFERROR(#REF!/H17,0)</f>
        <v>0</v>
      </c>
      <c r="I49" s="337">
        <f>IFERROR(#REF!/I17,0)</f>
        <v>0</v>
      </c>
      <c r="J49" s="337">
        <f>IFERROR(#REF!/J17,0)</f>
        <v>0</v>
      </c>
      <c r="K49" s="337">
        <f>IFERROR(#REF!/K17,0)</f>
        <v>0</v>
      </c>
      <c r="L49" s="337">
        <f>IFERROR(#REF!/L17,0)</f>
        <v>0</v>
      </c>
      <c r="M49" s="324"/>
      <c r="N49" s="324"/>
      <c r="O49" s="324"/>
      <c r="P49" s="324"/>
      <c r="Q49" s="324"/>
    </row>
    <row r="50" spans="3:20" hidden="1" outlineLevel="1" x14ac:dyDescent="0.25">
      <c r="C50" s="315" t="s">
        <v>536</v>
      </c>
      <c r="H50" s="337" t="e">
        <f>#REF!/#REF!</f>
        <v>#REF!</v>
      </c>
      <c r="I50" s="337" t="e">
        <f>#REF!/#REF!</f>
        <v>#REF!</v>
      </c>
      <c r="J50" s="337" t="e">
        <f>#REF!/#REF!</f>
        <v>#REF!</v>
      </c>
      <c r="K50" s="337" t="e">
        <f>#REF!/#REF!</f>
        <v>#REF!</v>
      </c>
      <c r="L50" s="337" t="e">
        <f>#REF!/#REF!</f>
        <v>#REF!</v>
      </c>
      <c r="M50" s="324"/>
      <c r="N50" s="324"/>
      <c r="O50" s="324"/>
      <c r="P50" s="324"/>
      <c r="Q50" s="324"/>
    </row>
    <row r="51" spans="3:20" hidden="1" outlineLevel="1" x14ac:dyDescent="0.25">
      <c r="H51" s="338"/>
      <c r="I51" s="338"/>
      <c r="J51" s="338"/>
      <c r="K51" s="338"/>
      <c r="L51" s="338"/>
      <c r="M51" s="324"/>
      <c r="N51" s="324"/>
      <c r="O51" s="324"/>
      <c r="P51" s="324"/>
      <c r="Q51" s="324"/>
    </row>
    <row r="52" spans="3:20" hidden="1" outlineLevel="1" x14ac:dyDescent="0.25">
      <c r="C52" s="315" t="s">
        <v>537</v>
      </c>
      <c r="H52" s="326" t="e">
        <f>H26-#REF!</f>
        <v>#REF!</v>
      </c>
      <c r="I52" s="326">
        <f>I26-H26</f>
        <v>5.2220000000000013</v>
      </c>
      <c r="J52" s="326">
        <f>J26-I26</f>
        <v>2.7819980000000015</v>
      </c>
      <c r="K52" s="326">
        <f>K26-J26</f>
        <v>18.801997999999998</v>
      </c>
      <c r="L52" s="326">
        <f>L26-K26</f>
        <v>128.086006</v>
      </c>
      <c r="M52" s="330" t="e">
        <f>SUM(H52:L52)</f>
        <v>#REF!</v>
      </c>
      <c r="N52" s="324"/>
      <c r="O52" s="324"/>
      <c r="P52" s="324"/>
      <c r="Q52" s="324"/>
    </row>
    <row r="53" spans="3:20" hidden="1" outlineLevel="1" x14ac:dyDescent="0.25">
      <c r="C53" s="315" t="s">
        <v>538</v>
      </c>
      <c r="H53" s="326" t="e">
        <f>#REF!-#REF!</f>
        <v>#REF!</v>
      </c>
      <c r="I53" s="326" t="e">
        <f>#REF!-#REF!</f>
        <v>#REF!</v>
      </c>
      <c r="J53" s="326" t="e">
        <f>#REF!-#REF!</f>
        <v>#REF!</v>
      </c>
      <c r="K53" s="326" t="e">
        <f>#REF!-#REF!</f>
        <v>#REF!</v>
      </c>
      <c r="L53" s="326" t="e">
        <f>#REF!-#REF!</f>
        <v>#REF!</v>
      </c>
      <c r="M53" s="330" t="e">
        <f>SUM(H53:L53)</f>
        <v>#REF!</v>
      </c>
      <c r="N53" s="324"/>
      <c r="O53" s="324"/>
      <c r="P53" s="324"/>
      <c r="Q53" s="324"/>
    </row>
    <row r="54" spans="3:20" hidden="1" outlineLevel="1" x14ac:dyDescent="0.25">
      <c r="C54" s="315" t="s">
        <v>539</v>
      </c>
      <c r="H54" s="338" t="e">
        <f t="shared" ref="H54:M54" si="16">H52/H53</f>
        <v>#REF!</v>
      </c>
      <c r="I54" s="338" t="e">
        <f t="shared" si="16"/>
        <v>#REF!</v>
      </c>
      <c r="J54" s="338" t="e">
        <f t="shared" si="16"/>
        <v>#REF!</v>
      </c>
      <c r="K54" s="338" t="e">
        <f t="shared" si="16"/>
        <v>#REF!</v>
      </c>
      <c r="L54" s="338" t="e">
        <f t="shared" si="16"/>
        <v>#REF!</v>
      </c>
      <c r="M54" s="338" t="e">
        <f t="shared" si="16"/>
        <v>#REF!</v>
      </c>
      <c r="N54" s="324"/>
      <c r="O54" s="324"/>
      <c r="P54" s="324"/>
      <c r="Q54" s="324"/>
    </row>
    <row r="55" spans="3:20" hidden="1" outlineLevel="1" x14ac:dyDescent="0.25">
      <c r="C55" s="315" t="s">
        <v>540</v>
      </c>
      <c r="H55" s="338" t="e">
        <f>H52/#REF!</f>
        <v>#REF!</v>
      </c>
      <c r="I55" s="338" t="e">
        <f>I52/#REF!</f>
        <v>#REF!</v>
      </c>
      <c r="J55" s="338" t="e">
        <f>J52/#REF!</f>
        <v>#REF!</v>
      </c>
      <c r="K55" s="338" t="e">
        <f>K52/#REF!</f>
        <v>#REF!</v>
      </c>
      <c r="L55" s="338" t="e">
        <f>L52/#REF!</f>
        <v>#REF!</v>
      </c>
      <c r="M55" s="338"/>
      <c r="N55" s="324"/>
      <c r="O55" s="324"/>
      <c r="P55" s="324"/>
      <c r="Q55" s="324"/>
    </row>
    <row r="56" spans="3:20" collapsed="1" x14ac:dyDescent="0.25"/>
    <row r="57" spans="3:20" x14ac:dyDescent="0.25">
      <c r="C57" s="315" t="s">
        <v>542</v>
      </c>
      <c r="E57" s="284">
        <f t="shared" ref="E57:E62" si="17">AVERAGE(H57:Q57)</f>
        <v>2.3517560228799193</v>
      </c>
      <c r="F57" s="339">
        <v>1</v>
      </c>
      <c r="H57" s="340">
        <f t="shared" ref="H57:Q57" si="18">H14/H26</f>
        <v>3.3426726332767331</v>
      </c>
      <c r="I57" s="340">
        <f t="shared" si="18"/>
        <v>3.4513574987454505</v>
      </c>
      <c r="J57" s="340">
        <f t="shared" si="18"/>
        <v>4.5060362063462218</v>
      </c>
      <c r="K57" s="340">
        <f t="shared" si="18"/>
        <v>4.2378429000954538</v>
      </c>
      <c r="L57" s="340">
        <f t="shared" si="18"/>
        <v>1.9150460033581866</v>
      </c>
      <c r="M57" s="340">
        <f t="shared" si="18"/>
        <v>1.8680594638754997</v>
      </c>
      <c r="N57" s="340">
        <f t="shared" si="18"/>
        <v>1.5905484587894068</v>
      </c>
      <c r="O57" s="340">
        <f t="shared" si="18"/>
        <v>1.0638688715919233</v>
      </c>
      <c r="P57" s="340">
        <f t="shared" si="18"/>
        <v>0.82944364390236969</v>
      </c>
      <c r="Q57" s="340">
        <f t="shared" si="18"/>
        <v>0.71268454881794452</v>
      </c>
      <c r="R57" s="284">
        <v>0.8</v>
      </c>
      <c r="S57" s="284">
        <v>0.8</v>
      </c>
      <c r="T57" s="284">
        <f>S57</f>
        <v>0.8</v>
      </c>
    </row>
    <row r="58" spans="3:20" x14ac:dyDescent="0.25">
      <c r="C58" s="315" t="s">
        <v>574</v>
      </c>
      <c r="E58" s="284">
        <f t="shared" si="17"/>
        <v>0.10335015246427423</v>
      </c>
      <c r="F58" s="339">
        <v>0.1</v>
      </c>
      <c r="H58" s="340">
        <f>H15/'API - BASE'!C23</f>
        <v>6.2655849701110169E-2</v>
      </c>
      <c r="I58" s="340">
        <f>I15/'API - BASE'!D23</f>
        <v>6.2768742562475208E-2</v>
      </c>
      <c r="J58" s="340">
        <f>J15/'API - BASE'!E23</f>
        <v>6.9490269026548673E-2</v>
      </c>
      <c r="K58" s="340">
        <f>K15/'API - BASE'!F23</f>
        <v>7.0919536124794735E-2</v>
      </c>
      <c r="L58" s="340">
        <f>L15/'API - BASE'!G23</f>
        <v>7.9283165627782731E-2</v>
      </c>
      <c r="M58" s="340">
        <f>M15/'API - BASE'!H23</f>
        <v>7.8102155576382393E-2</v>
      </c>
      <c r="N58" s="340">
        <f>N15/'API - BASE'!I23</f>
        <v>9.3643083680073971E-2</v>
      </c>
      <c r="O58" s="340">
        <f>O15/'API - BASE'!J23</f>
        <v>0.26050287238095238</v>
      </c>
      <c r="P58" s="340">
        <f>P15/'API - BASE'!K23</f>
        <v>0.18064404452690166</v>
      </c>
      <c r="Q58" s="340">
        <f>Q15/'API - BASE'!L23</f>
        <v>7.5491805435720455E-2</v>
      </c>
      <c r="R58" s="284">
        <f>Q58</f>
        <v>7.5491805435720455E-2</v>
      </c>
      <c r="S58" s="284">
        <f>R58</f>
        <v>7.5491805435720455E-2</v>
      </c>
      <c r="T58" s="284">
        <f t="shared" ref="T58:T61" si="19">S58</f>
        <v>7.5491805435720455E-2</v>
      </c>
    </row>
    <row r="59" spans="3:20" x14ac:dyDescent="0.25">
      <c r="C59" s="315" t="s">
        <v>575</v>
      </c>
      <c r="E59" s="284">
        <f t="shared" si="17"/>
        <v>5.0418401882464145E-2</v>
      </c>
      <c r="F59" s="339">
        <v>0.05</v>
      </c>
      <c r="H59" s="340">
        <f>H16/'API - BASE'!C23</f>
        <v>5.6071733561058927E-2</v>
      </c>
      <c r="I59" s="340">
        <f>I16/'API - BASE'!D23</f>
        <v>4.8758429194763982E-2</v>
      </c>
      <c r="J59" s="340">
        <f>J16/'API - BASE'!E23</f>
        <v>4.1720353982300881E-2</v>
      </c>
      <c r="K59" s="340">
        <f>K16/'API - BASE'!F23</f>
        <v>4.6691297208538589E-2</v>
      </c>
      <c r="L59" s="340">
        <f>L16/'API - BASE'!G23</f>
        <v>5.5498664292074798E-2</v>
      </c>
      <c r="M59" s="340">
        <f>M16/'API - BASE'!H23</f>
        <v>6.2502343017806924E-2</v>
      </c>
      <c r="N59" s="340">
        <f>N16/'API - BASE'!I23</f>
        <v>6.7951918631530286E-2</v>
      </c>
      <c r="O59" s="340">
        <f>O16/'API - BASE'!J23</f>
        <v>4.8636190476190472E-2</v>
      </c>
      <c r="P59" s="340">
        <f>P16/'API - BASE'!K23</f>
        <v>3.7720646700238537E-2</v>
      </c>
      <c r="Q59" s="340">
        <f>Q16/'API - BASE'!L23</f>
        <v>3.8632441760138046E-2</v>
      </c>
      <c r="R59" s="284">
        <f>F59</f>
        <v>0.05</v>
      </c>
      <c r="S59" s="284">
        <f>R59</f>
        <v>0.05</v>
      </c>
      <c r="T59" s="284">
        <f t="shared" si="19"/>
        <v>0.05</v>
      </c>
    </row>
    <row r="60" spans="3:20" x14ac:dyDescent="0.25">
      <c r="C60" s="315" t="s">
        <v>576</v>
      </c>
      <c r="E60" s="284">
        <f t="shared" si="17"/>
        <v>0.32555370157818952</v>
      </c>
      <c r="F60" s="339">
        <v>0.33</v>
      </c>
      <c r="H60" s="340">
        <f>H17/H26</f>
        <v>0</v>
      </c>
      <c r="I60" s="340">
        <f t="shared" ref="I60:Q60" si="20">I17/I26</f>
        <v>0</v>
      </c>
      <c r="J60" s="340">
        <f t="shared" si="20"/>
        <v>0</v>
      </c>
      <c r="K60" s="340">
        <f t="shared" si="20"/>
        <v>0</v>
      </c>
      <c r="L60" s="340">
        <f t="shared" si="20"/>
        <v>0.51921160673571687</v>
      </c>
      <c r="M60" s="340">
        <f t="shared" si="20"/>
        <v>0.59691406740779274</v>
      </c>
      <c r="N60" s="340">
        <f t="shared" si="20"/>
        <v>0.61797791907726929</v>
      </c>
      <c r="O60" s="340">
        <f t="shared" si="20"/>
        <v>0.40131213132987009</v>
      </c>
      <c r="P60" s="340">
        <f t="shared" si="20"/>
        <v>0.3231927319054208</v>
      </c>
      <c r="Q60" s="340">
        <f t="shared" si="20"/>
        <v>0.79692855932582551</v>
      </c>
      <c r="R60" s="284">
        <v>0.8</v>
      </c>
      <c r="S60" s="284">
        <v>0.8</v>
      </c>
      <c r="T60" s="284">
        <f t="shared" si="19"/>
        <v>0.8</v>
      </c>
    </row>
    <row r="61" spans="3:20" x14ac:dyDescent="0.25">
      <c r="C61" s="315" t="s">
        <v>577</v>
      </c>
      <c r="E61" s="284">
        <f t="shared" si="17"/>
        <v>9.2388799262088664E-2</v>
      </c>
      <c r="F61" s="339">
        <v>0.09</v>
      </c>
      <c r="H61" s="340">
        <f>H18/'API - BASE'!C23</f>
        <v>6.0081127241673783E-2</v>
      </c>
      <c r="I61" s="340">
        <f>I18/'API - BASE'!D23</f>
        <v>5.9555731852439509E-2</v>
      </c>
      <c r="J61" s="340">
        <f>J18/'API - BASE'!E23</f>
        <v>6.5847784070796458E-2</v>
      </c>
      <c r="K61" s="340">
        <f>K18/'API - BASE'!F23</f>
        <v>6.8304597701149425E-2</v>
      </c>
      <c r="L61" s="340">
        <f>L18/'API - BASE'!G23</f>
        <v>7.4407836153161169E-2</v>
      </c>
      <c r="M61" s="340">
        <f>M18/'API - BASE'!H23</f>
        <v>7.7352389878163078E-2</v>
      </c>
      <c r="N61" s="340">
        <f>N18/'API - BASE'!I23</f>
        <v>0.10015256588072122</v>
      </c>
      <c r="O61" s="340">
        <f>O18/'API - BASE'!J23</f>
        <v>0.16707810285714286</v>
      </c>
      <c r="P61" s="340">
        <f>P18/'API - BASE'!K23</f>
        <v>0.15291545189504374</v>
      </c>
      <c r="Q61" s="340">
        <f>Q18/'API - BASE'!L23</f>
        <v>9.8192405090595333E-2</v>
      </c>
      <c r="R61" s="284">
        <v>0.1</v>
      </c>
      <c r="S61" s="284">
        <f>R61</f>
        <v>0.1</v>
      </c>
      <c r="T61" s="284">
        <f t="shared" si="19"/>
        <v>0.1</v>
      </c>
    </row>
    <row r="62" spans="3:20" x14ac:dyDescent="0.25">
      <c r="C62" s="315" t="s">
        <v>578</v>
      </c>
      <c r="E62" s="284">
        <f t="shared" si="17"/>
        <v>0.11186570384205077</v>
      </c>
      <c r="F62" s="339">
        <f>E62</f>
        <v>0.11186570384205077</v>
      </c>
      <c r="H62" s="340">
        <f>H19/'API - BASE'!C23</f>
        <v>0.11983774551665244</v>
      </c>
      <c r="I62" s="340">
        <f>I19/'API - BASE'!D23</f>
        <v>0.13524792145973821</v>
      </c>
      <c r="J62" s="340">
        <f>J19/'API - BASE'!E23</f>
        <v>0.14423717522123894</v>
      </c>
      <c r="K62" s="340">
        <f>K19/'API - BASE'!F23</f>
        <v>0.10079639162561577</v>
      </c>
      <c r="L62" s="340">
        <f>L19/'API - BASE'!G23</f>
        <v>9.9225284951024048E-2</v>
      </c>
      <c r="M62" s="340">
        <f>M19/'API - BASE'!H23</f>
        <v>8.4029985941893162E-2</v>
      </c>
      <c r="N62" s="340">
        <f>N19/'API - BASE'!I23</f>
        <v>8.313915857605178E-2</v>
      </c>
      <c r="O62" s="340">
        <f>O19/'API - BASE'!J23</f>
        <v>0.13857523428571428</v>
      </c>
      <c r="P62" s="340">
        <f>P19/'API - BASE'!K23</f>
        <v>6.9851576994434131E-2</v>
      </c>
      <c r="Q62" s="340">
        <f>Q19/'API - BASE'!L23</f>
        <v>0.14371656384814493</v>
      </c>
      <c r="R62" s="284">
        <v>0.14000000000000001</v>
      </c>
      <c r="S62" s="284">
        <f>R62</f>
        <v>0.14000000000000001</v>
      </c>
      <c r="T62" s="284">
        <f>S62</f>
        <v>0.14000000000000001</v>
      </c>
    </row>
    <row r="63" spans="3:20" x14ac:dyDescent="0.25">
      <c r="E63" s="284"/>
      <c r="F63" s="339"/>
      <c r="H63" s="340"/>
      <c r="I63" s="340"/>
      <c r="J63" s="340"/>
      <c r="K63" s="340"/>
      <c r="L63" s="340"/>
      <c r="M63" s="340"/>
      <c r="N63" s="340"/>
      <c r="O63" s="340"/>
      <c r="P63" s="340"/>
      <c r="Q63" s="340"/>
      <c r="R63" s="284"/>
      <c r="S63" s="284"/>
      <c r="T63" s="284"/>
    </row>
    <row r="64" spans="3:20" collapsed="1" x14ac:dyDescent="0.25">
      <c r="C64" s="315" t="s">
        <v>541</v>
      </c>
      <c r="E64" s="284">
        <f>AVERAGE(H64:Q64)</f>
        <v>0.78598177508721023</v>
      </c>
      <c r="F64" s="339">
        <v>1</v>
      </c>
      <c r="H64" s="340">
        <f>H26/'API - BASE'!B23</f>
        <v>0.27719543781725886</v>
      </c>
      <c r="I64" s="340">
        <f>I26/'API - BASE'!C23</f>
        <v>0.20883006404782237</v>
      </c>
      <c r="J64" s="340">
        <f>J26/'API - BASE'!D23</f>
        <v>0.20503767949226498</v>
      </c>
      <c r="K64" s="340">
        <f>K26/'API - BASE'!E23</f>
        <v>0.24952919292035397</v>
      </c>
      <c r="L64" s="340">
        <f>L26/'API - BASE'!F23</f>
        <v>0.81518063628899839</v>
      </c>
      <c r="M64" s="340">
        <f>M26/'API - BASE'!G23</f>
        <v>0.92424754674977738</v>
      </c>
      <c r="N64" s="340">
        <f>N26/'API - BASE'!H23</f>
        <v>1.0060778163074038</v>
      </c>
      <c r="O64" s="340">
        <f>O26/'API - BASE'!I23</f>
        <v>0.98090155339805818</v>
      </c>
      <c r="P64" s="340">
        <f>P26/'API - BASE'!J23</f>
        <v>0.90348568761904768</v>
      </c>
      <c r="Q64" s="340">
        <f>Q26/'API - BASE'!K23</f>
        <v>2.2893321362311156</v>
      </c>
      <c r="R64" s="284">
        <v>1.5</v>
      </c>
      <c r="S64" s="284">
        <v>1.5</v>
      </c>
      <c r="T64" s="284">
        <v>1.5</v>
      </c>
    </row>
    <row r="65" spans="3:20" x14ac:dyDescent="0.25">
      <c r="C65" s="315" t="s">
        <v>580</v>
      </c>
      <c r="E65" s="284">
        <f>AVERAGE(H65:Q65)</f>
        <v>0.80708771750777475</v>
      </c>
      <c r="F65" s="339">
        <v>0.81</v>
      </c>
      <c r="H65" s="340">
        <f>H27/'API - BASE'!C23</f>
        <v>0.73401792485055506</v>
      </c>
      <c r="I65" s="340">
        <f>I27/'API - BASE'!D23</f>
        <v>0.84915112653708846</v>
      </c>
      <c r="J65" s="340">
        <f>J27/'API - BASE'!E23</f>
        <v>0.66297342654867264</v>
      </c>
      <c r="K65" s="340">
        <f>K27/'API - BASE'!F23</f>
        <v>0.7216871674876848</v>
      </c>
      <c r="L65" s="340">
        <f>L27/'API - BASE'!G23</f>
        <v>0.7341762956366874</v>
      </c>
      <c r="M65" s="340">
        <f>M27/'API - BASE'!H23</f>
        <v>0.73912373008434862</v>
      </c>
      <c r="N65" s="340">
        <f>N27/'API - BASE'!I23</f>
        <v>0.83755429496070266</v>
      </c>
      <c r="O65" s="340">
        <f>O27/'API - BASE'!J23</f>
        <v>1.0262818552380952</v>
      </c>
      <c r="P65" s="340">
        <f>P27/'API - BASE'!K23</f>
        <v>0.97202223164590507</v>
      </c>
      <c r="Q65" s="340">
        <f>Q27/'API - BASE'!L23</f>
        <v>0.79388912208800677</v>
      </c>
      <c r="R65" s="284">
        <f>F65</f>
        <v>0.81</v>
      </c>
      <c r="S65" s="284">
        <f>R65</f>
        <v>0.81</v>
      </c>
      <c r="T65" s="284">
        <f t="shared" ref="T65" si="21">S65</f>
        <v>0.81</v>
      </c>
    </row>
    <row r="66" spans="3:20" x14ac:dyDescent="0.25">
      <c r="C66" s="315" t="s">
        <v>586</v>
      </c>
      <c r="E66" s="284">
        <f>AVERAGE(H66:Q66)</f>
        <v>0.19709149828598821</v>
      </c>
      <c r="F66" s="339">
        <v>0.2</v>
      </c>
      <c r="H66" s="340">
        <f>H29/H23</f>
        <v>0.24117069704947794</v>
      </c>
      <c r="I66" s="340">
        <f>I29/I23</f>
        <v>0.21031581918795497</v>
      </c>
      <c r="J66" s="340">
        <f>J29/J23</f>
        <v>0.20318970614007867</v>
      </c>
      <c r="K66" s="340">
        <f>K29/K23</f>
        <v>0.2072384188546523</v>
      </c>
      <c r="L66" s="340">
        <f>L29/L23</f>
        <v>0.2823758379372292</v>
      </c>
      <c r="M66" s="340">
        <f>M29/M23</f>
        <v>0.30034951547282418</v>
      </c>
      <c r="N66" s="340">
        <f>N29/N23</f>
        <v>0.20395361451477967</v>
      </c>
      <c r="O66" s="340">
        <f>O29/O23</f>
        <v>0.16626881954772188</v>
      </c>
      <c r="P66" s="340">
        <f>P29/P23</f>
        <v>3.8665702213034905E-2</v>
      </c>
      <c r="Q66" s="340">
        <f>Q29/Q23</f>
        <v>0.11738685194212854</v>
      </c>
      <c r="R66" s="284">
        <f>F66</f>
        <v>0.2</v>
      </c>
      <c r="S66" s="284">
        <f>R66</f>
        <v>0.2</v>
      </c>
      <c r="T66" s="284">
        <f>S66</f>
        <v>0.2</v>
      </c>
    </row>
    <row r="67" spans="3:20" x14ac:dyDescent="0.25">
      <c r="C67" s="315" t="s">
        <v>235</v>
      </c>
      <c r="E67" s="451"/>
      <c r="F67" s="450"/>
      <c r="H67" s="466">
        <v>6.8880000000000052</v>
      </c>
      <c r="I67" s="466">
        <v>14.114999999999981</v>
      </c>
      <c r="J67" s="466">
        <v>8.1329999999999814</v>
      </c>
      <c r="K67" s="466">
        <v>19.169999999999987</v>
      </c>
      <c r="L67" s="466">
        <v>21.272999999999996</v>
      </c>
      <c r="M67" s="466">
        <v>17.972000000000008</v>
      </c>
      <c r="N67" s="466">
        <v>26.462999999999994</v>
      </c>
      <c r="O67" s="466">
        <v>11.579000000000008</v>
      </c>
      <c r="P67" s="466">
        <v>27.824999999999989</v>
      </c>
      <c r="Q67" s="466">
        <v>35.962999999999965</v>
      </c>
      <c r="R67" s="473">
        <f>'API - BEAR'!M26</f>
        <v>39.559299999999965</v>
      </c>
      <c r="S67" s="473">
        <f>'API - BEAR'!N26</f>
        <v>35.60336999999997</v>
      </c>
      <c r="T67" s="473">
        <f>'API - BEAR'!O26</f>
        <v>33.823201499999968</v>
      </c>
    </row>
    <row r="68" spans="3:20" x14ac:dyDescent="0.25">
      <c r="C68" s="315" t="s">
        <v>742</v>
      </c>
      <c r="E68" s="284"/>
      <c r="F68" s="450"/>
      <c r="H68" s="340">
        <f>H67/H14</f>
        <v>4.7169036075273271E-2</v>
      </c>
      <c r="I68" s="340">
        <f>I67/I14</f>
        <v>8.3620165608093905E-2</v>
      </c>
      <c r="J68" s="340">
        <f>J67/J14</f>
        <v>3.4918016957001259E-2</v>
      </c>
      <c r="K68" s="340">
        <f>K67/K14</f>
        <v>6.4170798846006141E-2</v>
      </c>
      <c r="L68" s="340">
        <f>L67/L14</f>
        <v>5.5939475512287506E-2</v>
      </c>
      <c r="M68" s="340">
        <f>M67/M14</f>
        <v>4.6345508863088629E-2</v>
      </c>
      <c r="N68" s="340">
        <f>N67/N14</f>
        <v>7.7493661877644435E-2</v>
      </c>
      <c r="O68" s="340">
        <f>O67/O14</f>
        <v>5.1298068176067427E-2</v>
      </c>
      <c r="P68" s="340">
        <f>P67/P14</f>
        <v>0.14144829100878506</v>
      </c>
      <c r="Q68" s="340">
        <f>Q67/Q14</f>
        <v>5.8420189294863721E-2</v>
      </c>
      <c r="R68" s="451">
        <f>R67/R14</f>
        <v>6.4614032140406202E-2</v>
      </c>
      <c r="S68" s="451">
        <f>S67/S14</f>
        <v>5.286602629669597E-2</v>
      </c>
      <c r="T68" s="451">
        <f>T67/T14</f>
        <v>4.5657022710782882E-2</v>
      </c>
    </row>
    <row r="69" spans="3:20" x14ac:dyDescent="0.25">
      <c r="E69" s="284"/>
      <c r="F69" s="450"/>
      <c r="H69" s="451"/>
      <c r="I69" s="451"/>
      <c r="J69" s="451"/>
      <c r="K69" s="451"/>
      <c r="L69" s="451"/>
      <c r="M69" s="451"/>
      <c r="N69" s="451"/>
      <c r="O69" s="451"/>
      <c r="P69" s="451"/>
      <c r="Q69" s="451"/>
      <c r="R69" s="451"/>
      <c r="S69" s="451"/>
      <c r="T69" s="451"/>
    </row>
    <row r="70" spans="3:20" x14ac:dyDescent="0.25">
      <c r="E70" s="284"/>
      <c r="F70" s="450"/>
      <c r="H70" s="451"/>
      <c r="I70" s="451"/>
      <c r="J70" s="451"/>
      <c r="K70" s="451"/>
      <c r="L70" s="451"/>
      <c r="M70" s="451"/>
      <c r="N70" s="451"/>
      <c r="O70" s="451"/>
      <c r="P70" s="451"/>
      <c r="Q70" s="451"/>
      <c r="R70" s="451"/>
      <c r="S70" s="451"/>
      <c r="T70" s="451"/>
    </row>
    <row r="71" spans="3:20" x14ac:dyDescent="0.25">
      <c r="E71" s="284"/>
      <c r="F71" s="450"/>
      <c r="H71" s="451"/>
      <c r="I71" s="451"/>
      <c r="J71" s="451"/>
      <c r="K71" s="451"/>
      <c r="L71" s="451"/>
      <c r="M71" s="451"/>
      <c r="N71" s="451"/>
      <c r="O71" s="451"/>
      <c r="P71" s="451"/>
      <c r="Q71" s="451"/>
      <c r="R71" s="451"/>
      <c r="S71" s="451"/>
      <c r="T71" s="451"/>
    </row>
  </sheetData>
  <conditionalFormatting sqref="A1:XFD55 A57:XFD1048576">
    <cfRule type="containsText" dxfId="1" priority="1" operator="containsText" text="FALSE">
      <formula>NOT(ISERROR(SEARCH("FALSE",A1)))</formula>
    </cfRule>
    <cfRule type="cellIs" dxfId="0" priority="2" operator="equal">
      <formula>TRUE</formula>
    </cfRule>
  </conditionalFormatting>
  <pageMargins left="0.7" right="0.7" top="0.75" bottom="0.75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88065" r:id="rId3" name="Check Box 1">
              <controlPr defaultSize="0" autoFill="0" autoLine="0" autoPict="0" macro="[1]!CheckBox2_Click">
                <anchor moveWithCells="1">
                  <from>
                    <xdr:col>6</xdr:col>
                    <xdr:colOff>676275</xdr:colOff>
                    <xdr:row>3</xdr:row>
                    <xdr:rowOff>85725</xdr:rowOff>
                  </from>
                  <to>
                    <xdr:col>7</xdr:col>
                    <xdr:colOff>542925</xdr:colOff>
                    <xdr:row>4</xdr:row>
                    <xdr:rowOff>104775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8067" r:id="rId4" name="Check Box 3">
              <controlPr defaultSize="0" autoFill="0" autoLine="0" autoPict="0" macro="[1]!CheckBox2_Click">
                <anchor moveWithCells="1">
                  <from>
                    <xdr:col>6</xdr:col>
                    <xdr:colOff>676275</xdr:colOff>
                    <xdr:row>3</xdr:row>
                    <xdr:rowOff>85725</xdr:rowOff>
                  </from>
                  <to>
                    <xdr:col>7</xdr:col>
                    <xdr:colOff>571500</xdr:colOff>
                    <xdr:row>4</xdr:row>
                    <xdr:rowOff>123825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ED5795-68E4-4F78-9506-97A7D210D9CB}">
  <dimension ref="A1:H12"/>
  <sheetViews>
    <sheetView workbookViewId="0"/>
  </sheetViews>
  <sheetFormatPr defaultColWidth="9" defaultRowHeight="16.5" x14ac:dyDescent="0.3"/>
  <cols>
    <col min="2" max="2" width="14.140625" customWidth="1"/>
    <col min="3" max="3" width="9.42578125" customWidth="1"/>
    <col min="4" max="4" width="14.85546875" customWidth="1"/>
    <col min="8" max="8" width="12.85546875" customWidth="1"/>
  </cols>
  <sheetData>
    <row r="1" spans="1:8" x14ac:dyDescent="0.3">
      <c r="A1" s="249" t="s">
        <v>581</v>
      </c>
      <c r="B1" s="249" t="s">
        <v>582</v>
      </c>
      <c r="C1" s="249" t="s">
        <v>407</v>
      </c>
      <c r="D1" s="249" t="s">
        <v>588</v>
      </c>
    </row>
    <row r="2" spans="1:8" x14ac:dyDescent="0.3">
      <c r="A2" t="s">
        <v>583</v>
      </c>
      <c r="B2" s="345">
        <v>0.95</v>
      </c>
      <c r="C2">
        <f>'API - BASE'!N137</f>
        <v>4.2531725024235341</v>
      </c>
      <c r="D2" s="347">
        <f>C2*B2</f>
        <v>4.0405138773023568</v>
      </c>
    </row>
    <row r="3" spans="1:8" x14ac:dyDescent="0.3">
      <c r="A3" t="s">
        <v>584</v>
      </c>
      <c r="B3" s="346">
        <f>0.05-B4</f>
        <v>0.04</v>
      </c>
      <c r="C3">
        <f>'API - BULL'!N137</f>
        <v>5.9196033911661061</v>
      </c>
      <c r="D3" s="347">
        <f>C3*B3</f>
        <v>0.23678413564664424</v>
      </c>
    </row>
    <row r="4" spans="1:8" x14ac:dyDescent="0.3">
      <c r="A4" s="349" t="s">
        <v>585</v>
      </c>
      <c r="B4" s="350">
        <v>0.01</v>
      </c>
      <c r="C4" s="349">
        <f>'API - BEAR'!N137</f>
        <v>1.8149322195970816</v>
      </c>
      <c r="D4" s="351">
        <f>C4*B4</f>
        <v>1.8149322195970815E-2</v>
      </c>
      <c r="F4" t="s">
        <v>592</v>
      </c>
      <c r="H4" s="249" t="s">
        <v>593</v>
      </c>
    </row>
    <row r="5" spans="1:8" x14ac:dyDescent="0.3">
      <c r="A5" s="249" t="s">
        <v>587</v>
      </c>
      <c r="B5" s="249"/>
      <c r="C5" s="249"/>
      <c r="D5" s="348">
        <f>SUM(D2:D4)</f>
        <v>4.2954473351449716</v>
      </c>
      <c r="F5" s="363">
        <f>'PE Calculation'!F4</f>
        <v>15.538571428571426</v>
      </c>
      <c r="H5" s="358">
        <f>D5*F5</f>
        <v>66.745115234816922</v>
      </c>
    </row>
    <row r="8" spans="1:8" x14ac:dyDescent="0.3">
      <c r="A8" s="249" t="s">
        <v>581</v>
      </c>
      <c r="B8" s="249" t="s">
        <v>582</v>
      </c>
      <c r="C8" s="249" t="s">
        <v>319</v>
      </c>
      <c r="D8" s="249" t="s">
        <v>589</v>
      </c>
    </row>
    <row r="9" spans="1:8" x14ac:dyDescent="0.3">
      <c r="A9" t="s">
        <v>583</v>
      </c>
      <c r="B9" s="345">
        <f>B2</f>
        <v>0.95</v>
      </c>
      <c r="C9" s="272">
        <f>'BS - BASE'!S44</f>
        <v>24.534599312434874</v>
      </c>
      <c r="D9" s="355">
        <f>C9*B9</f>
        <v>23.307869346813131</v>
      </c>
    </row>
    <row r="10" spans="1:8" x14ac:dyDescent="0.3">
      <c r="A10" t="s">
        <v>584</v>
      </c>
      <c r="B10" s="346">
        <f>B3</f>
        <v>0.04</v>
      </c>
      <c r="C10" s="272">
        <f>'BS - BULL'!S42</f>
        <v>27.960227229601301</v>
      </c>
      <c r="D10" s="358">
        <f>B10*C10</f>
        <v>1.1184090891840521</v>
      </c>
    </row>
    <row r="11" spans="1:8" x14ac:dyDescent="0.3">
      <c r="A11" s="349" t="s">
        <v>585</v>
      </c>
      <c r="B11" s="350">
        <f>B4</f>
        <v>0.01</v>
      </c>
      <c r="C11" s="356">
        <f>'BS - BEAR'!S42</f>
        <v>4.3832226244901138</v>
      </c>
      <c r="D11" s="359">
        <f>B11*C11</f>
        <v>4.3832226244901136E-2</v>
      </c>
      <c r="F11" t="s">
        <v>592</v>
      </c>
      <c r="H11" s="249" t="s">
        <v>593</v>
      </c>
    </row>
    <row r="12" spans="1:8" x14ac:dyDescent="0.3">
      <c r="A12" s="249" t="s">
        <v>587</v>
      </c>
      <c r="D12" s="357">
        <f>SUM(D9:D11)</f>
        <v>24.470110662242085</v>
      </c>
      <c r="F12" s="363">
        <v>2.5</v>
      </c>
      <c r="H12" s="358">
        <f>D12*F12</f>
        <v>61.175276655605217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A54927-CF33-476D-A4BD-EEF1B9285B75}">
  <sheetPr>
    <tabColor rgb="FF0070C0"/>
  </sheetPr>
  <dimension ref="A1"/>
  <sheetViews>
    <sheetView workbookViewId="0"/>
  </sheetViews>
  <sheetFormatPr defaultColWidth="9" defaultRowHeight="16.5" x14ac:dyDescent="0.3"/>
  <sheetData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9154AF-44FD-46B1-B789-35287C875BDE}">
  <dimension ref="A1:N5"/>
  <sheetViews>
    <sheetView workbookViewId="0"/>
  </sheetViews>
  <sheetFormatPr defaultColWidth="9" defaultRowHeight="16.5" x14ac:dyDescent="0.3"/>
  <cols>
    <col min="1" max="1" width="9.85546875" bestFit="1" customWidth="1"/>
    <col min="5" max="5" width="9.85546875" bestFit="1" customWidth="1"/>
    <col min="9" max="9" width="9.5703125" customWidth="1"/>
    <col min="13" max="13" width="9.85546875" customWidth="1"/>
  </cols>
  <sheetData>
    <row r="1" spans="1:14" x14ac:dyDescent="0.3">
      <c r="A1" s="250">
        <v>42735</v>
      </c>
      <c r="B1" s="250">
        <v>42825</v>
      </c>
      <c r="C1" s="250">
        <v>42916</v>
      </c>
      <c r="D1" s="250">
        <v>43373</v>
      </c>
      <c r="E1" s="250">
        <v>43465</v>
      </c>
      <c r="F1" s="250">
        <v>43555</v>
      </c>
      <c r="G1" s="250">
        <v>43646</v>
      </c>
      <c r="H1" s="250">
        <v>43738</v>
      </c>
      <c r="I1" s="250">
        <v>43830</v>
      </c>
      <c r="J1" s="250">
        <v>43921</v>
      </c>
      <c r="K1" s="250">
        <v>44012</v>
      </c>
      <c r="L1" s="250">
        <v>44104</v>
      </c>
      <c r="M1" s="250">
        <v>44196</v>
      </c>
      <c r="N1" s="250">
        <v>44286</v>
      </c>
    </row>
    <row r="2" spans="1:14" x14ac:dyDescent="0.3">
      <c r="A2">
        <v>11.2</v>
      </c>
      <c r="B2">
        <v>10.94</v>
      </c>
      <c r="C2">
        <v>10.68</v>
      </c>
      <c r="D2">
        <v>9.14</v>
      </c>
      <c r="E2">
        <v>21.42</v>
      </c>
      <c r="F2">
        <v>21.11</v>
      </c>
      <c r="G2">
        <v>19.04</v>
      </c>
      <c r="H2">
        <v>25.02</v>
      </c>
      <c r="I2">
        <v>12.57</v>
      </c>
      <c r="J2">
        <v>14.51</v>
      </c>
      <c r="K2">
        <v>15.7</v>
      </c>
      <c r="L2">
        <v>12.41</v>
      </c>
      <c r="M2">
        <v>15.23</v>
      </c>
      <c r="N2">
        <v>18.57</v>
      </c>
    </row>
    <row r="4" spans="1:14" x14ac:dyDescent="0.3">
      <c r="E4" t="s">
        <v>591</v>
      </c>
      <c r="F4" s="362">
        <f>AVERAGE(A2:N2)</f>
        <v>15.538571428571426</v>
      </c>
    </row>
    <row r="5" spans="1:14" x14ac:dyDescent="0.3">
      <c r="F5" s="471">
        <v>15.5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F6D4C4-57DC-424B-8D7E-4AA1A0D7342E}">
  <dimension ref="A1:V57"/>
  <sheetViews>
    <sheetView workbookViewId="0"/>
  </sheetViews>
  <sheetFormatPr defaultColWidth="9" defaultRowHeight="16.5" outlineLevelCol="1" x14ac:dyDescent="0.3"/>
  <cols>
    <col min="1" max="1" width="65.42578125" customWidth="1"/>
    <col min="2" max="2" width="11" customWidth="1"/>
    <col min="3" max="3" width="10.5703125" customWidth="1"/>
    <col min="4" max="4" width="11.5703125" customWidth="1"/>
    <col min="5" max="5" width="11.140625" customWidth="1"/>
    <col min="6" max="6" width="9" customWidth="1" outlineLevel="1"/>
    <col min="7" max="7" width="10.7109375" customWidth="1" outlineLevel="1"/>
    <col min="9" max="9" width="12.42578125" customWidth="1"/>
    <col min="10" max="12" width="10" bestFit="1" customWidth="1"/>
    <col min="14" max="14" width="11.85546875" customWidth="1"/>
    <col min="17" max="17" width="11.140625" customWidth="1"/>
    <col min="21" max="21" width="15.28515625" customWidth="1"/>
    <col min="22" max="22" width="11.85546875" customWidth="1"/>
  </cols>
  <sheetData>
    <row r="1" spans="1:22" x14ac:dyDescent="0.3">
      <c r="B1" t="s">
        <v>197</v>
      </c>
      <c r="C1" t="s">
        <v>198</v>
      </c>
      <c r="D1" t="s">
        <v>199</v>
      </c>
      <c r="E1" t="s">
        <v>200</v>
      </c>
      <c r="G1" t="s">
        <v>201</v>
      </c>
      <c r="I1" t="s">
        <v>723</v>
      </c>
      <c r="J1" t="s">
        <v>724</v>
      </c>
      <c r="K1" t="s">
        <v>725</v>
      </c>
      <c r="L1" t="s">
        <v>726</v>
      </c>
      <c r="N1" t="s">
        <v>201</v>
      </c>
      <c r="Q1" t="s">
        <v>200</v>
      </c>
      <c r="R1" t="s">
        <v>729</v>
      </c>
      <c r="S1" t="s">
        <v>730</v>
      </c>
      <c r="T1" t="s">
        <v>731</v>
      </c>
      <c r="V1" s="456" t="s">
        <v>728</v>
      </c>
    </row>
    <row r="2" spans="1:22" x14ac:dyDescent="0.3">
      <c r="A2" s="198" t="s">
        <v>76</v>
      </c>
      <c r="B2" s="254">
        <v>216300</v>
      </c>
      <c r="C2" s="254">
        <v>200000</v>
      </c>
      <c r="D2" s="254">
        <v>200000</v>
      </c>
      <c r="E2" s="254">
        <v>275000</v>
      </c>
      <c r="F2" s="199"/>
      <c r="G2" s="254">
        <f>AVERAGE(B2:E2)</f>
        <v>222825</v>
      </c>
      <c r="H2" s="199"/>
      <c r="I2" s="463">
        <v>267000</v>
      </c>
      <c r="J2" s="463">
        <v>259000</v>
      </c>
      <c r="K2" s="463">
        <v>253000</v>
      </c>
      <c r="L2" s="463">
        <v>247000</v>
      </c>
      <c r="M2" s="199"/>
      <c r="N2" s="254">
        <f>AVERAGE(I2:L2)</f>
        <v>256500</v>
      </c>
      <c r="Q2" s="254">
        <v>267000</v>
      </c>
      <c r="R2" s="199">
        <v>248309.99999999997</v>
      </c>
      <c r="S2" s="199">
        <v>233411.39999999997</v>
      </c>
      <c r="T2" s="199">
        <v>219406.71599999996</v>
      </c>
      <c r="U2" s="199"/>
      <c r="V2" s="254">
        <f>AVERAGE(Q2:T2)</f>
        <v>242032.02899999998</v>
      </c>
    </row>
    <row r="3" spans="1:22" x14ac:dyDescent="0.3">
      <c r="A3" s="200" t="s">
        <v>77</v>
      </c>
      <c r="B3" s="198"/>
      <c r="C3" s="253">
        <f>(C2/B2)-1</f>
        <v>-7.5358298659269574E-2</v>
      </c>
      <c r="D3" s="253">
        <f t="shared" ref="D3:E3" si="0">(D2/C2)-1</f>
        <v>0</v>
      </c>
      <c r="E3" s="253">
        <f t="shared" si="0"/>
        <v>0.375</v>
      </c>
      <c r="F3" s="198"/>
      <c r="G3" s="198"/>
      <c r="H3" s="198"/>
      <c r="I3" s="257">
        <f>-(E2-I2)/I2</f>
        <v>-2.9962546816479401E-2</v>
      </c>
      <c r="J3" s="257">
        <f>-(I2-J2)/J2</f>
        <v>-3.0888030888030889E-2</v>
      </c>
      <c r="K3" s="257">
        <f t="shared" ref="K3:L3" si="1">-(J2-K2)/K2</f>
        <v>-2.3715415019762844E-2</v>
      </c>
      <c r="L3" s="257">
        <f t="shared" si="1"/>
        <v>-2.4291497975708502E-2</v>
      </c>
      <c r="M3" s="198"/>
      <c r="N3" s="198"/>
      <c r="Q3" s="253">
        <v>0.33499999999999996</v>
      </c>
      <c r="R3" s="257">
        <v>-7.0000000000000007E-2</v>
      </c>
      <c r="S3" s="257">
        <v>-0.06</v>
      </c>
      <c r="T3" s="257">
        <v>-0.06</v>
      </c>
      <c r="U3" s="198"/>
      <c r="V3" s="198"/>
    </row>
    <row r="4" spans="1:22" x14ac:dyDescent="0.3">
      <c r="A4" s="198" t="s">
        <v>78</v>
      </c>
      <c r="B4" s="452">
        <f>(B9/B2)*1000000</f>
        <v>832.17753120665748</v>
      </c>
      <c r="C4" s="452">
        <f t="shared" ref="C4:D4" si="2">(C9/C2)*1000000</f>
        <v>910</v>
      </c>
      <c r="D4" s="452">
        <f t="shared" si="2"/>
        <v>919.09999999999991</v>
      </c>
      <c r="E4" s="452">
        <f>(E9/E2)*1000000</f>
        <v>935.81090909090892</v>
      </c>
      <c r="F4" s="198"/>
      <c r="G4" s="452">
        <f>(G9/G2)*1000000</f>
        <v>3604.4788511163465</v>
      </c>
      <c r="H4" s="198"/>
      <c r="I4" s="452">
        <f>(I9/I2)*1000000</f>
        <v>934.9346816479399</v>
      </c>
      <c r="J4" s="452">
        <f t="shared" ref="J4:K4" si="3">(J9/J2)*1000000</f>
        <v>944.53671351351329</v>
      </c>
      <c r="K4" s="452">
        <f t="shared" si="3"/>
        <v>947.59805780237127</v>
      </c>
      <c r="L4" s="452">
        <f>(L9/L2)*1000000</f>
        <v>970.61663410526296</v>
      </c>
      <c r="M4" s="198"/>
      <c r="N4" s="452">
        <f>(N9/N2)*1000000</f>
        <v>3796.2853257231968</v>
      </c>
      <c r="Q4" s="256">
        <v>963.85018726591738</v>
      </c>
      <c r="R4" s="452">
        <v>1005.3061092988602</v>
      </c>
      <c r="S4" s="452">
        <v>1048.0850926732799</v>
      </c>
      <c r="T4" s="452">
        <v>1092.6844583189513</v>
      </c>
      <c r="U4" s="198"/>
      <c r="V4" s="452">
        <f>(V9/V2)*1000000</f>
        <v>4095.9573884496085</v>
      </c>
    </row>
    <row r="5" spans="1:22" x14ac:dyDescent="0.3">
      <c r="A5" s="200" t="s">
        <v>77</v>
      </c>
      <c r="B5" s="198"/>
      <c r="C5" s="253">
        <f>(C4/B4)-1</f>
        <v>9.3516666666666692E-2</v>
      </c>
      <c r="D5" s="253">
        <f t="shared" ref="D5" si="4">(D4/C4)-1</f>
        <v>1.0000000000000009E-2</v>
      </c>
      <c r="E5" s="253">
        <f>(E4/D4)-1</f>
        <v>1.8181818181818077E-2</v>
      </c>
      <c r="F5" s="198"/>
      <c r="G5" s="454"/>
      <c r="H5" s="198"/>
      <c r="I5" s="253">
        <f>(I4/E4)-1</f>
        <v>-9.3632958801503907E-4</v>
      </c>
      <c r="J5" s="253">
        <f t="shared" ref="J5" si="5">(J4/I4)-1</f>
        <v>1.0270270270270165E-2</v>
      </c>
      <c r="K5" s="253">
        <f t="shared" ref="K5" si="6">(K4/J4)-1</f>
        <v>3.2411067193676146E-3</v>
      </c>
      <c r="L5" s="253">
        <f t="shared" ref="L5" si="7">(L4/K4)-1</f>
        <v>2.4291497975708509E-2</v>
      </c>
      <c r="M5" s="198"/>
      <c r="N5" s="454"/>
      <c r="Q5" s="253">
        <v>4.8689138576778923E-2</v>
      </c>
      <c r="R5" s="253">
        <v>4.3010752688172227E-2</v>
      </c>
      <c r="S5" s="253">
        <v>4.2553191489361764E-2</v>
      </c>
      <c r="T5" s="253">
        <v>4.2553191489361764E-2</v>
      </c>
      <c r="U5" s="198"/>
      <c r="V5" s="454"/>
    </row>
    <row r="6" spans="1:22" ht="16.5" customHeight="1" x14ac:dyDescent="0.3">
      <c r="A6" s="198" t="s">
        <v>79</v>
      </c>
      <c r="B6" s="452">
        <f>(B14/B2)*1000000</f>
        <v>503.92972723069818</v>
      </c>
      <c r="C6" s="452">
        <f t="shared" ref="C6:G6" si="8">(C14/C2)*1000000</f>
        <v>580</v>
      </c>
      <c r="D6" s="452">
        <f t="shared" si="8"/>
        <v>579.03300000000002</v>
      </c>
      <c r="E6" s="452">
        <f>(E14/E2)*1000000</f>
        <v>589.56087272727268</v>
      </c>
      <c r="F6" s="198"/>
      <c r="G6" s="452">
        <f t="shared" si="8"/>
        <v>2257.0889262874452</v>
      </c>
      <c r="H6" s="198"/>
      <c r="I6" s="256">
        <f>(I14/I2)*1000000</f>
        <v>589.00884943820222</v>
      </c>
      <c r="J6" s="256">
        <f t="shared" ref="J6:L6" si="9">(J14/J2)*1000000</f>
        <v>595.05812951351334</v>
      </c>
      <c r="K6" s="256">
        <f t="shared" si="9"/>
        <v>596.98677641549398</v>
      </c>
      <c r="L6" s="256">
        <f t="shared" si="9"/>
        <v>611.48847948631567</v>
      </c>
      <c r="M6" s="198"/>
      <c r="N6" s="452">
        <f t="shared" ref="N6" si="10">(N14/N2)*1000000</f>
        <v>2391.6597552056137</v>
      </c>
      <c r="Q6" s="256">
        <v>607.22561797752803</v>
      </c>
      <c r="R6" s="256">
        <v>633.34284885828197</v>
      </c>
      <c r="S6" s="256">
        <v>660.29360838416619</v>
      </c>
      <c r="T6" s="256">
        <v>688.39120874093931</v>
      </c>
      <c r="U6" s="198"/>
      <c r="V6" s="452">
        <f t="shared" ref="V6" si="11">(V14/V2)*1000000</f>
        <v>2580.4531547232536</v>
      </c>
    </row>
    <row r="7" spans="1:22" x14ac:dyDescent="0.3">
      <c r="A7" s="200" t="s">
        <v>77</v>
      </c>
      <c r="B7" s="256"/>
      <c r="C7" s="253">
        <f>(C6/B6)-1</f>
        <v>0.15095412844036682</v>
      </c>
      <c r="D7" s="253">
        <f>(D6/C6)-1</f>
        <v>-1.6672413793102914E-3</v>
      </c>
      <c r="E7" s="253">
        <f t="shared" ref="E7" si="12">(E6/D6)-1</f>
        <v>1.8181818181818077E-2</v>
      </c>
      <c r="F7" s="198"/>
      <c r="G7" s="454"/>
      <c r="H7" s="198"/>
      <c r="I7" s="253">
        <f>(I6/E6)-1</f>
        <v>-9.3632958801492805E-4</v>
      </c>
      <c r="J7" s="253">
        <f>(J6/I6)-1</f>
        <v>1.0270270270269943E-2</v>
      </c>
      <c r="K7" s="253">
        <f t="shared" ref="K7:L7" si="13">(K6/J6)-1</f>
        <v>3.2411067193678367E-3</v>
      </c>
      <c r="L7" s="253">
        <f t="shared" si="13"/>
        <v>2.4291497975708509E-2</v>
      </c>
      <c r="M7" s="198"/>
      <c r="N7" s="454"/>
      <c r="Q7" s="253">
        <v>4.8689138576778923E-2</v>
      </c>
      <c r="R7" s="253">
        <v>4.3010752688172005E-2</v>
      </c>
      <c r="S7" s="253">
        <v>4.2553191489361541E-2</v>
      </c>
      <c r="T7" s="253">
        <v>4.2553191489361764E-2</v>
      </c>
      <c r="U7" s="198"/>
      <c r="V7" s="454"/>
    </row>
    <row r="8" spans="1:22" x14ac:dyDescent="0.3">
      <c r="A8" s="200"/>
      <c r="B8" s="198"/>
      <c r="C8" s="198"/>
      <c r="D8" s="198"/>
      <c r="E8" s="198"/>
      <c r="F8" s="198"/>
      <c r="G8" s="454"/>
      <c r="H8" s="198"/>
      <c r="I8" s="198"/>
      <c r="J8" s="198"/>
      <c r="K8" s="198"/>
      <c r="L8" s="198"/>
      <c r="M8" s="198"/>
      <c r="N8" s="454"/>
      <c r="Q8" s="198"/>
      <c r="R8" s="198"/>
      <c r="S8" s="198"/>
      <c r="T8" s="198"/>
      <c r="U8" s="198"/>
      <c r="V8" s="454"/>
    </row>
    <row r="9" spans="1:22" x14ac:dyDescent="0.3">
      <c r="A9" s="198" t="s">
        <v>80</v>
      </c>
      <c r="B9" s="455">
        <v>180</v>
      </c>
      <c r="C9" s="455">
        <v>182</v>
      </c>
      <c r="D9" s="454">
        <f>C9*(1+D10)</f>
        <v>183.82</v>
      </c>
      <c r="E9" s="454">
        <f>D9*(1+E10)</f>
        <v>257.34799999999996</v>
      </c>
      <c r="F9" s="198"/>
      <c r="G9" s="454">
        <f>SUM(B9:E9)</f>
        <v>803.16799999999989</v>
      </c>
      <c r="H9" s="198"/>
      <c r="I9" s="454">
        <f>E9*(1+I10)</f>
        <v>249.62755999999996</v>
      </c>
      <c r="J9" s="454">
        <f>I9*(1+J10)</f>
        <v>244.63500879999995</v>
      </c>
      <c r="K9" s="454">
        <f>J9*(1+K10)</f>
        <v>239.74230862399995</v>
      </c>
      <c r="L9" s="454">
        <f>K9*(1+L10)</f>
        <v>239.74230862399995</v>
      </c>
      <c r="M9" s="198"/>
      <c r="N9" s="454">
        <f>SUM(I9:L9)</f>
        <v>973.74718604799989</v>
      </c>
      <c r="Q9" s="454">
        <v>257.34799999999996</v>
      </c>
      <c r="R9" s="454">
        <v>249.62755999999996</v>
      </c>
      <c r="S9" s="454">
        <v>244.63500879999995</v>
      </c>
      <c r="T9" s="454">
        <v>239.74230862399995</v>
      </c>
      <c r="U9" s="198"/>
      <c r="V9" s="454">
        <f>SUM(Q9:T9)</f>
        <v>991.35287742399987</v>
      </c>
    </row>
    <row r="10" spans="1:22" x14ac:dyDescent="0.3">
      <c r="A10" s="200" t="s">
        <v>77</v>
      </c>
      <c r="B10" s="198"/>
      <c r="C10" s="253">
        <f>(C9/B9)-1</f>
        <v>1.1111111111111072E-2</v>
      </c>
      <c r="D10" s="257">
        <v>0.01</v>
      </c>
      <c r="E10" s="257">
        <v>0.4</v>
      </c>
      <c r="F10" s="198"/>
      <c r="G10" s="454"/>
      <c r="H10" s="198"/>
      <c r="I10" s="257">
        <v>-0.03</v>
      </c>
      <c r="J10" s="257">
        <v>-0.02</v>
      </c>
      <c r="K10" s="257">
        <v>-0.02</v>
      </c>
      <c r="L10" s="257">
        <v>0</v>
      </c>
      <c r="M10" s="198"/>
      <c r="N10" s="454"/>
      <c r="Q10" s="257">
        <v>0.4</v>
      </c>
      <c r="R10" s="257">
        <v>-0.03</v>
      </c>
      <c r="S10" s="257">
        <v>-0.02</v>
      </c>
      <c r="T10" s="257">
        <v>-0.02</v>
      </c>
      <c r="U10" s="198"/>
      <c r="V10" s="454"/>
    </row>
    <row r="11" spans="1:22" x14ac:dyDescent="0.3">
      <c r="A11" s="198" t="s">
        <v>81</v>
      </c>
      <c r="B11" s="455">
        <v>71</v>
      </c>
      <c r="C11" s="455">
        <v>66</v>
      </c>
      <c r="D11" s="454">
        <f>D9*D13</f>
        <v>68.01339999999999</v>
      </c>
      <c r="E11" s="454">
        <f>E9*E13</f>
        <v>95.218759999999989</v>
      </c>
      <c r="F11" s="198"/>
      <c r="G11" s="454">
        <f>SUM(B11:E11)</f>
        <v>300.23215999999996</v>
      </c>
      <c r="H11" s="198"/>
      <c r="I11" s="454">
        <f>I9*I13</f>
        <v>92.362197199999983</v>
      </c>
      <c r="J11" s="454">
        <f t="shared" ref="J11:L11" si="14">J9*J13</f>
        <v>90.514953255999984</v>
      </c>
      <c r="K11" s="454">
        <f t="shared" si="14"/>
        <v>88.704654190879978</v>
      </c>
      <c r="L11" s="454">
        <f t="shared" si="14"/>
        <v>88.704654190879978</v>
      </c>
      <c r="M11" s="198"/>
      <c r="N11" s="454">
        <f>SUM(I11:L11)</f>
        <v>360.28645883775994</v>
      </c>
      <c r="Q11" s="454">
        <v>95.218759999999989</v>
      </c>
      <c r="R11" s="454">
        <v>92.362197199999983</v>
      </c>
      <c r="S11" s="454">
        <v>90.514953255999984</v>
      </c>
      <c r="T11" s="454">
        <v>88.704654190879978</v>
      </c>
      <c r="U11" s="198"/>
      <c r="V11" s="454">
        <f>SUM(Q11:T11)</f>
        <v>366.80056464687993</v>
      </c>
    </row>
    <row r="12" spans="1:22" x14ac:dyDescent="0.3">
      <c r="A12" s="200" t="s">
        <v>77</v>
      </c>
      <c r="B12" s="198"/>
      <c r="C12" s="253">
        <f>(C11/B11)-1</f>
        <v>-7.0422535211267623E-2</v>
      </c>
      <c r="D12" s="253">
        <f t="shared" ref="D12" si="15">(D11/C11)-1</f>
        <v>3.0506060606060537E-2</v>
      </c>
      <c r="E12" s="253">
        <f>(E11/D11)-1</f>
        <v>0.40000000000000013</v>
      </c>
      <c r="F12" s="198"/>
      <c r="G12" s="454"/>
      <c r="H12" s="198"/>
      <c r="I12" s="253">
        <f>(I11/E11)-1</f>
        <v>-3.0000000000000027E-2</v>
      </c>
      <c r="J12" s="253">
        <f>(J11/I11)-1</f>
        <v>-2.0000000000000018E-2</v>
      </c>
      <c r="K12" s="253">
        <f t="shared" ref="K12:L12" si="16">(K11/J11)-1</f>
        <v>-2.0000000000000018E-2</v>
      </c>
      <c r="L12" s="253">
        <f t="shared" si="16"/>
        <v>0</v>
      </c>
      <c r="M12" s="198"/>
      <c r="N12" s="454"/>
      <c r="Q12" s="253">
        <v>0.40000000000000013</v>
      </c>
      <c r="R12" s="253">
        <v>-3.0000000000000027E-2</v>
      </c>
      <c r="S12" s="253">
        <v>-2.0000000000000018E-2</v>
      </c>
      <c r="T12" s="253">
        <v>-2.0000000000000018E-2</v>
      </c>
      <c r="U12" s="198"/>
      <c r="V12" s="454"/>
    </row>
    <row r="13" spans="1:22" x14ac:dyDescent="0.3">
      <c r="A13" s="200" t="s">
        <v>82</v>
      </c>
      <c r="B13" s="201">
        <f t="shared" ref="B13:C13" si="17">B11/B9</f>
        <v>0.39444444444444443</v>
      </c>
      <c r="C13" s="201">
        <f t="shared" si="17"/>
        <v>0.36263736263736263</v>
      </c>
      <c r="D13" s="258">
        <v>0.37</v>
      </c>
      <c r="E13" s="258">
        <v>0.37</v>
      </c>
      <c r="F13" s="198"/>
      <c r="G13" s="454"/>
      <c r="H13" s="198"/>
      <c r="I13" s="453">
        <v>0.37</v>
      </c>
      <c r="J13" s="453">
        <v>0.37</v>
      </c>
      <c r="K13" s="453">
        <v>0.37</v>
      </c>
      <c r="L13" s="453">
        <v>0.37</v>
      </c>
      <c r="M13" s="198"/>
      <c r="N13" s="454"/>
      <c r="Q13" s="258">
        <v>0.37</v>
      </c>
      <c r="R13" s="453">
        <v>0.37</v>
      </c>
      <c r="S13" s="453">
        <v>0.37</v>
      </c>
      <c r="T13" s="453">
        <v>0.37</v>
      </c>
      <c r="U13" s="198"/>
      <c r="V13" s="454"/>
    </row>
    <row r="14" spans="1:22" x14ac:dyDescent="0.3">
      <c r="A14" s="198" t="s">
        <v>83</v>
      </c>
      <c r="B14" s="454">
        <f>B9-B11</f>
        <v>109</v>
      </c>
      <c r="C14" s="454">
        <f>C9-C11</f>
        <v>116</v>
      </c>
      <c r="D14" s="454">
        <f t="shared" ref="D14:E14" si="18">D9-D11</f>
        <v>115.8066</v>
      </c>
      <c r="E14" s="454">
        <f t="shared" si="18"/>
        <v>162.12923999999998</v>
      </c>
      <c r="F14" s="198"/>
      <c r="G14" s="454">
        <f>SUM(B14:E14)</f>
        <v>502.93583999999998</v>
      </c>
      <c r="H14" s="198"/>
      <c r="I14" s="454">
        <f>I9-I11</f>
        <v>157.26536279999999</v>
      </c>
      <c r="J14" s="454">
        <f t="shared" ref="J14:K14" si="19">J9-J11</f>
        <v>154.12005554399997</v>
      </c>
      <c r="K14" s="454">
        <f t="shared" si="19"/>
        <v>151.03765443311997</v>
      </c>
      <c r="L14" s="454">
        <f t="shared" ref="L14" si="20">L9-L11</f>
        <v>151.03765443311997</v>
      </c>
      <c r="M14" s="198"/>
      <c r="N14" s="454">
        <f>SUM(I14:L14)</f>
        <v>613.46072721023995</v>
      </c>
      <c r="Q14" s="454">
        <v>162.12923999999998</v>
      </c>
      <c r="R14" s="454">
        <v>157.26536279999999</v>
      </c>
      <c r="S14" s="454">
        <v>154.12005554399997</v>
      </c>
      <c r="T14" s="454">
        <v>151.03765443311997</v>
      </c>
      <c r="U14" s="198"/>
      <c r="V14" s="454">
        <f>SUM(Q14:T14)</f>
        <v>624.55231277711994</v>
      </c>
    </row>
    <row r="15" spans="1:22" x14ac:dyDescent="0.3">
      <c r="A15" s="200" t="s">
        <v>77</v>
      </c>
      <c r="B15" s="198"/>
      <c r="C15" s="253">
        <f>(C14/B14)-1</f>
        <v>6.4220183486238591E-2</v>
      </c>
      <c r="D15" s="253">
        <f t="shared" ref="D15:E15" si="21">(D14/C14)-1</f>
        <v>-1.6672413793102914E-3</v>
      </c>
      <c r="E15" s="253">
        <f t="shared" si="21"/>
        <v>0.39999999999999991</v>
      </c>
      <c r="F15" s="198"/>
      <c r="G15" s="454"/>
      <c r="H15" s="198"/>
      <c r="I15" s="253">
        <f>(I14/E14)-1</f>
        <v>-2.9999999999999916E-2</v>
      </c>
      <c r="J15" s="253">
        <f>(J14/I14)-1</f>
        <v>-2.0000000000000129E-2</v>
      </c>
      <c r="K15" s="253">
        <f t="shared" ref="K15:L15" si="22">(K14/J14)-1</f>
        <v>-2.0000000000000018E-2</v>
      </c>
      <c r="L15" s="253">
        <f t="shared" si="22"/>
        <v>0</v>
      </c>
      <c r="M15" s="198"/>
      <c r="N15" s="454"/>
      <c r="Q15" s="253">
        <v>0.39999999999999991</v>
      </c>
      <c r="R15" s="253">
        <v>-2.9999999999999916E-2</v>
      </c>
      <c r="S15" s="253">
        <v>-2.0000000000000129E-2</v>
      </c>
      <c r="T15" s="253">
        <v>-2.0000000000000018E-2</v>
      </c>
      <c r="U15" s="198"/>
      <c r="V15" s="454"/>
    </row>
    <row r="16" spans="1:22" x14ac:dyDescent="0.3">
      <c r="A16" s="198"/>
      <c r="B16" s="198"/>
      <c r="C16" s="198"/>
      <c r="D16" s="198"/>
      <c r="E16" s="198"/>
      <c r="F16" s="198"/>
      <c r="G16" s="454"/>
      <c r="H16" s="198"/>
      <c r="I16" s="198"/>
      <c r="J16" s="198"/>
      <c r="K16" s="198"/>
      <c r="L16" s="198"/>
      <c r="M16" s="198"/>
      <c r="N16" s="454"/>
      <c r="Q16" s="198"/>
      <c r="R16" s="198"/>
      <c r="S16" s="198"/>
      <c r="T16" s="198"/>
      <c r="U16" s="198"/>
      <c r="V16" s="454"/>
    </row>
    <row r="17" spans="1:22" x14ac:dyDescent="0.3">
      <c r="A17" s="198" t="s">
        <v>84</v>
      </c>
      <c r="B17" s="454">
        <v>17</v>
      </c>
      <c r="C17" s="454">
        <v>9</v>
      </c>
      <c r="D17" s="455">
        <v>10</v>
      </c>
      <c r="E17" s="455">
        <v>10</v>
      </c>
      <c r="F17" s="454"/>
      <c r="G17" s="454">
        <f>SUM(B17:E17)</f>
        <v>46</v>
      </c>
      <c r="H17" s="454"/>
      <c r="I17" s="455">
        <v>10</v>
      </c>
      <c r="J17" s="455">
        <v>10</v>
      </c>
      <c r="K17" s="455">
        <v>10</v>
      </c>
      <c r="L17" s="455">
        <v>10</v>
      </c>
      <c r="M17" s="198"/>
      <c r="N17" s="454">
        <f>SUM(I17:L17)</f>
        <v>40</v>
      </c>
      <c r="Q17" s="455">
        <v>10</v>
      </c>
      <c r="R17" s="455">
        <v>10</v>
      </c>
      <c r="S17" s="455">
        <v>10</v>
      </c>
      <c r="T17" s="455">
        <v>10</v>
      </c>
      <c r="U17" s="198"/>
      <c r="V17" s="454">
        <f>SUM(Q17:T17)</f>
        <v>40</v>
      </c>
    </row>
    <row r="18" spans="1:22" x14ac:dyDescent="0.3">
      <c r="A18" s="200" t="s">
        <v>77</v>
      </c>
      <c r="B18" s="198"/>
      <c r="C18" s="253">
        <f>(C17/B17)-1</f>
        <v>-0.47058823529411764</v>
      </c>
      <c r="D18" s="253">
        <f t="shared" ref="D18:E18" si="23">(D17/C17)-1</f>
        <v>0.11111111111111116</v>
      </c>
      <c r="E18" s="253">
        <f t="shared" si="23"/>
        <v>0</v>
      </c>
      <c r="F18" s="198"/>
      <c r="G18" s="454"/>
      <c r="H18" s="198"/>
      <c r="I18" s="253">
        <v>0</v>
      </c>
      <c r="J18" s="253">
        <f t="shared" ref="J18:L18" si="24">(J17/I17)-1</f>
        <v>0</v>
      </c>
      <c r="K18" s="253">
        <f t="shared" si="24"/>
        <v>0</v>
      </c>
      <c r="L18" s="253">
        <f t="shared" si="24"/>
        <v>0</v>
      </c>
      <c r="M18" s="198"/>
      <c r="N18" s="454"/>
      <c r="Q18" s="253">
        <v>0</v>
      </c>
      <c r="R18" s="253">
        <v>0</v>
      </c>
      <c r="S18" s="253">
        <v>0</v>
      </c>
      <c r="T18" s="253">
        <v>0</v>
      </c>
      <c r="U18" s="198"/>
      <c r="V18" s="454"/>
    </row>
    <row r="19" spans="1:22" x14ac:dyDescent="0.3">
      <c r="A19" s="200"/>
      <c r="B19" s="198"/>
      <c r="C19" s="253"/>
      <c r="D19" s="253"/>
      <c r="E19" s="253"/>
      <c r="F19" s="198"/>
      <c r="G19" s="454"/>
      <c r="H19" s="198"/>
      <c r="I19" s="253"/>
      <c r="J19" s="253"/>
      <c r="K19" s="253"/>
      <c r="L19" s="253"/>
      <c r="M19" s="198"/>
      <c r="N19" s="454"/>
      <c r="Q19" s="253"/>
      <c r="R19" s="253"/>
      <c r="S19" s="253"/>
      <c r="T19" s="253"/>
      <c r="U19" s="198"/>
      <c r="V19" s="454"/>
    </row>
    <row r="20" spans="1:22" x14ac:dyDescent="0.3">
      <c r="A20" s="200"/>
      <c r="B20" s="198"/>
      <c r="C20" s="253"/>
      <c r="D20" s="253"/>
      <c r="E20" s="253"/>
      <c r="F20" s="198"/>
      <c r="G20" s="454"/>
      <c r="H20" s="198"/>
      <c r="I20" s="253"/>
      <c r="J20" s="253"/>
      <c r="K20" s="253"/>
      <c r="L20" s="253"/>
      <c r="M20" s="198"/>
      <c r="N20" s="454"/>
      <c r="Q20" s="253"/>
      <c r="R20" s="253"/>
      <c r="S20" s="253"/>
      <c r="T20" s="253"/>
      <c r="U20" s="198"/>
      <c r="V20" s="454"/>
    </row>
    <row r="21" spans="1:22" x14ac:dyDescent="0.3">
      <c r="A21" s="243" t="s">
        <v>727</v>
      </c>
      <c r="B21" s="452">
        <f>B17+B14</f>
        <v>126</v>
      </c>
      <c r="C21" s="452">
        <f t="shared" ref="C21:L21" si="25">C17+C14</f>
        <v>125</v>
      </c>
      <c r="D21" s="452">
        <f t="shared" si="25"/>
        <v>125.8066</v>
      </c>
      <c r="E21" s="452">
        <f t="shared" si="25"/>
        <v>172.12923999999998</v>
      </c>
      <c r="F21" s="452"/>
      <c r="G21" s="452">
        <f t="shared" si="25"/>
        <v>548.93583999999998</v>
      </c>
      <c r="H21" s="452"/>
      <c r="I21" s="452">
        <f>I17+I14</f>
        <v>167.26536279999999</v>
      </c>
      <c r="J21" s="452">
        <f t="shared" si="25"/>
        <v>164.12005554399997</v>
      </c>
      <c r="K21" s="452">
        <f t="shared" si="25"/>
        <v>161.03765443311997</v>
      </c>
      <c r="L21" s="452">
        <f t="shared" si="25"/>
        <v>161.03765443311997</v>
      </c>
      <c r="M21" s="198"/>
      <c r="N21" s="452">
        <f t="shared" ref="N21" si="26">N17+N14</f>
        <v>653.46072721023995</v>
      </c>
      <c r="Q21" s="452">
        <v>172.12923999999998</v>
      </c>
      <c r="R21" s="452">
        <v>167.26536279999999</v>
      </c>
      <c r="S21" s="452">
        <v>164.12005554399997</v>
      </c>
      <c r="T21" s="452">
        <v>161.03765443311997</v>
      </c>
      <c r="U21" s="198"/>
      <c r="V21" s="452">
        <f>V17+V14</f>
        <v>664.55231277711994</v>
      </c>
    </row>
    <row r="22" spans="1:22" x14ac:dyDescent="0.3">
      <c r="A22" s="200"/>
      <c r="B22" s="198"/>
      <c r="C22" s="253"/>
      <c r="D22" s="253"/>
      <c r="E22" s="253"/>
      <c r="F22" s="198"/>
      <c r="G22" s="198"/>
      <c r="H22" s="198"/>
      <c r="I22" s="253"/>
      <c r="J22" s="253"/>
      <c r="K22" s="253"/>
      <c r="L22" s="253"/>
      <c r="M22" s="198"/>
      <c r="N22" s="198"/>
      <c r="Q22" s="253"/>
      <c r="R22" s="253"/>
      <c r="S22" s="253"/>
      <c r="T22" s="253"/>
      <c r="U22" s="198"/>
      <c r="V22" s="198"/>
    </row>
    <row r="23" spans="1:22" x14ac:dyDescent="0.3">
      <c r="A23" s="200"/>
      <c r="B23" s="198"/>
      <c r="C23" s="253"/>
      <c r="D23" s="253"/>
      <c r="E23" s="253"/>
      <c r="F23" s="198"/>
      <c r="G23" s="198"/>
      <c r="H23" s="198"/>
      <c r="I23" s="253"/>
      <c r="J23" s="253"/>
      <c r="K23" s="253"/>
      <c r="L23" s="253"/>
      <c r="M23" s="198"/>
      <c r="N23" s="198"/>
      <c r="Q23" s="253"/>
      <c r="R23" s="253"/>
      <c r="S23" s="253"/>
      <c r="T23" s="253"/>
      <c r="U23" s="198"/>
      <c r="V23" s="198"/>
    </row>
    <row r="24" spans="1:22" x14ac:dyDescent="0.3">
      <c r="A24" s="200"/>
      <c r="B24" s="198"/>
      <c r="C24" s="253"/>
      <c r="D24" s="253"/>
      <c r="E24" s="253"/>
      <c r="F24" s="198"/>
      <c r="G24" s="198"/>
      <c r="H24" s="198"/>
      <c r="I24" s="253"/>
      <c r="J24" s="253"/>
      <c r="K24" s="253"/>
      <c r="L24" s="253"/>
      <c r="M24" s="198"/>
      <c r="N24" s="198"/>
      <c r="Q24" s="253"/>
      <c r="R24" s="253"/>
      <c r="S24" s="253"/>
      <c r="T24" s="253"/>
      <c r="U24" s="198"/>
      <c r="V24" s="198"/>
    </row>
    <row r="25" spans="1:22" x14ac:dyDescent="0.3">
      <c r="A25" s="200"/>
      <c r="B25" s="198"/>
      <c r="C25" s="253"/>
      <c r="D25" s="253"/>
      <c r="E25" s="253"/>
      <c r="F25" s="198"/>
      <c r="G25" s="198"/>
      <c r="H25" s="198"/>
      <c r="I25" s="253"/>
      <c r="J25" s="253"/>
      <c r="K25" s="253"/>
      <c r="L25" s="253"/>
      <c r="M25" s="198"/>
      <c r="N25" s="198"/>
      <c r="Q25" s="253"/>
      <c r="R25" s="253"/>
      <c r="S25" s="253"/>
      <c r="T25" s="253"/>
      <c r="U25" s="198"/>
      <c r="V25" s="198"/>
    </row>
    <row r="26" spans="1:22" x14ac:dyDescent="0.3">
      <c r="A26" s="200" t="s">
        <v>225</v>
      </c>
      <c r="B26" s="201">
        <v>0.56999999999999995</v>
      </c>
      <c r="C26" s="201">
        <v>0.56999999999999995</v>
      </c>
      <c r="D26" s="201">
        <v>0.56999999999999995</v>
      </c>
      <c r="E26" s="201">
        <v>0.56999999999999995</v>
      </c>
      <c r="F26" s="253">
        <v>0.56999999999999995</v>
      </c>
      <c r="G26" s="253">
        <v>0.56999999999999995</v>
      </c>
      <c r="H26" s="253"/>
      <c r="I26" s="201">
        <v>0.59219999999999995</v>
      </c>
      <c r="J26" s="201">
        <v>0.59219999999999995</v>
      </c>
      <c r="K26" s="201">
        <v>0.59219999999999995</v>
      </c>
      <c r="L26" s="201">
        <v>0.59219999999999995</v>
      </c>
      <c r="M26" s="198"/>
      <c r="N26" s="253">
        <v>0.56999999999999995</v>
      </c>
      <c r="Q26" s="201">
        <f>'API - BASE'!M91</f>
        <v>0.57999999999999996</v>
      </c>
      <c r="R26" s="201">
        <f>'API - BASE'!$N$91</f>
        <v>0.57474999999999998</v>
      </c>
      <c r="S26" s="201">
        <f>'API - BASE'!$N$91</f>
        <v>0.57474999999999998</v>
      </c>
      <c r="T26" s="201">
        <f>'API - BASE'!$N$91</f>
        <v>0.57474999999999998</v>
      </c>
      <c r="U26" s="198"/>
      <c r="V26" s="201">
        <f>AVERAGE(Q26:T26)</f>
        <v>0.57606249999999992</v>
      </c>
    </row>
    <row r="27" spans="1:22" x14ac:dyDescent="0.3">
      <c r="A27" s="200" t="s">
        <v>436</v>
      </c>
      <c r="B27" s="201">
        <v>0.39459125852008314</v>
      </c>
      <c r="C27" s="201">
        <v>0.39459125852008314</v>
      </c>
      <c r="D27" s="201">
        <v>0.39459125852008314</v>
      </c>
      <c r="E27" s="201">
        <v>0.39459125852008314</v>
      </c>
      <c r="F27" s="253">
        <v>0.39459125852008314</v>
      </c>
      <c r="G27" s="253">
        <v>0.39459125852008314</v>
      </c>
      <c r="H27" s="253"/>
      <c r="I27" s="201">
        <v>0.37</v>
      </c>
      <c r="J27" s="201">
        <v>0.37</v>
      </c>
      <c r="K27" s="201">
        <v>0.37</v>
      </c>
      <c r="L27" s="201">
        <v>0.37</v>
      </c>
      <c r="M27" s="198"/>
      <c r="N27" s="253">
        <v>0.39459125852008314</v>
      </c>
      <c r="Q27" s="201">
        <f>'API - BASE'!M92</f>
        <v>0.39300000000000002</v>
      </c>
      <c r="R27" s="201">
        <f>'API - BASE'!$N$92</f>
        <v>0.39499999999999996</v>
      </c>
      <c r="S27" s="201">
        <f>'API - BASE'!$N$92</f>
        <v>0.39499999999999996</v>
      </c>
      <c r="T27" s="201">
        <f>'API - BASE'!$N$92</f>
        <v>0.39499999999999996</v>
      </c>
      <c r="U27" s="198"/>
      <c r="V27" s="201">
        <f t="shared" ref="V27:V28" si="27">AVERAGE(Q27:T27)</f>
        <v>0.39450000000000002</v>
      </c>
    </row>
    <row r="28" spans="1:22" x14ac:dyDescent="0.3">
      <c r="A28" s="200" t="s">
        <v>107</v>
      </c>
      <c r="B28" s="201">
        <v>0.96459125852008309</v>
      </c>
      <c r="C28" s="201">
        <v>0.96459125852008309</v>
      </c>
      <c r="D28" s="201">
        <v>0.96459125852008309</v>
      </c>
      <c r="E28" s="201">
        <v>0.96459125852008309</v>
      </c>
      <c r="F28" s="253">
        <v>0.96459125852008309</v>
      </c>
      <c r="G28" s="253">
        <v>0.96459125852008309</v>
      </c>
      <c r="H28" s="198"/>
      <c r="I28" s="201">
        <v>0.96219999999999994</v>
      </c>
      <c r="J28" s="201">
        <v>0.96219999999999994</v>
      </c>
      <c r="K28" s="201">
        <v>0.96219999999999994</v>
      </c>
      <c r="L28" s="201">
        <v>0.96219999999999994</v>
      </c>
      <c r="M28" s="198"/>
      <c r="N28" s="253">
        <v>0.96459125852008309</v>
      </c>
      <c r="Q28" s="201">
        <f>'API - BASE'!M93</f>
        <v>0.97299999999999998</v>
      </c>
      <c r="R28" s="201">
        <f>'API - BASE'!$N$93</f>
        <v>0.96974999999999989</v>
      </c>
      <c r="S28" s="201">
        <f>'API - BASE'!$N$93</f>
        <v>0.96974999999999989</v>
      </c>
      <c r="T28" s="201">
        <f>'API - BASE'!$N$93</f>
        <v>0.96974999999999989</v>
      </c>
      <c r="U28" s="198"/>
      <c r="V28" s="201">
        <f t="shared" si="27"/>
        <v>0.97056249999999988</v>
      </c>
    </row>
    <row r="29" spans="1:22" x14ac:dyDescent="0.3">
      <c r="A29" s="200"/>
      <c r="B29" s="198"/>
      <c r="C29" s="253"/>
      <c r="D29" s="253"/>
      <c r="E29" s="253"/>
      <c r="F29" s="198"/>
      <c r="G29" s="198"/>
      <c r="H29" s="198"/>
      <c r="I29" s="253"/>
      <c r="J29" s="253"/>
      <c r="K29" s="253"/>
      <c r="L29" s="253"/>
      <c r="M29" s="198"/>
      <c r="N29" s="198"/>
      <c r="Q29" s="201"/>
      <c r="R29" s="201"/>
      <c r="S29" s="201"/>
      <c r="T29" s="201"/>
      <c r="U29" s="198"/>
      <c r="V29" s="253"/>
    </row>
    <row r="30" spans="1:22" x14ac:dyDescent="0.3">
      <c r="A30" s="200"/>
      <c r="B30" s="198"/>
      <c r="C30" s="253"/>
      <c r="D30" s="253"/>
      <c r="E30" s="253"/>
      <c r="F30" s="198"/>
      <c r="G30" s="198"/>
      <c r="H30" s="198"/>
      <c r="I30" s="253"/>
      <c r="J30" s="253"/>
      <c r="K30" s="253"/>
      <c r="L30" s="253"/>
      <c r="M30" s="198"/>
      <c r="N30" s="198"/>
      <c r="Q30" s="201"/>
      <c r="R30" s="201"/>
      <c r="S30" s="201"/>
      <c r="T30" s="201"/>
      <c r="U30" s="198" t="s">
        <v>733</v>
      </c>
      <c r="V30" s="457">
        <f>V14*V28</f>
        <v>606.16705406974336</v>
      </c>
    </row>
    <row r="31" spans="1:22" x14ac:dyDescent="0.3">
      <c r="Q31" s="201"/>
      <c r="R31" s="201"/>
      <c r="S31" s="201"/>
      <c r="T31" s="201"/>
      <c r="U31" s="198" t="s">
        <v>109</v>
      </c>
      <c r="V31" s="457">
        <f>V21-V30</f>
        <v>58.385258707376579</v>
      </c>
    </row>
    <row r="32" spans="1:22" x14ac:dyDescent="0.3">
      <c r="A32" s="198" t="s">
        <v>94</v>
      </c>
      <c r="Q32" s="253"/>
      <c r="R32" s="253"/>
      <c r="S32" s="253"/>
      <c r="T32" s="253"/>
      <c r="U32" s="198"/>
      <c r="V32" s="198"/>
    </row>
    <row r="33" spans="1:22" x14ac:dyDescent="0.3">
      <c r="A33" s="200" t="s">
        <v>95</v>
      </c>
      <c r="Q33" s="253"/>
      <c r="R33" s="253"/>
      <c r="S33" s="253"/>
      <c r="T33" s="253"/>
      <c r="U33" s="198" t="s">
        <v>732</v>
      </c>
      <c r="V33" s="454">
        <f>'API - BASE'!N114</f>
        <v>10</v>
      </c>
    </row>
    <row r="34" spans="1:22" x14ac:dyDescent="0.3">
      <c r="A34" s="200" t="s">
        <v>96</v>
      </c>
      <c r="Q34" s="253"/>
      <c r="R34" s="253"/>
      <c r="S34" s="253"/>
      <c r="T34" s="253"/>
      <c r="U34" s="198"/>
      <c r="V34" s="198"/>
    </row>
    <row r="35" spans="1:22" x14ac:dyDescent="0.3">
      <c r="A35" s="200" t="str">
        <f>A32&amp;" as a % of Net Premiums Earned (Loss Ratio)"</f>
        <v>Losses and Loss Adjustments as a % of Net Premiums Earned (Loss Ratio)</v>
      </c>
      <c r="Q35" s="253"/>
      <c r="R35" s="253"/>
      <c r="S35" s="253"/>
      <c r="T35" s="253"/>
      <c r="U35" s="198" t="s">
        <v>734</v>
      </c>
      <c r="V35" s="454">
        <f>V31-V33</f>
        <v>48.385258707376579</v>
      </c>
    </row>
    <row r="36" spans="1:22" x14ac:dyDescent="0.3">
      <c r="A36" s="200" t="s">
        <v>97</v>
      </c>
      <c r="Q36" s="253"/>
      <c r="R36" s="253"/>
      <c r="S36" s="253"/>
      <c r="T36" s="253"/>
      <c r="U36" s="198" t="s">
        <v>735</v>
      </c>
      <c r="V36" s="454">
        <f>V35*V37</f>
        <v>12.580167263917911</v>
      </c>
    </row>
    <row r="37" spans="1:22" x14ac:dyDescent="0.3">
      <c r="A37" s="200" t="s">
        <v>98</v>
      </c>
      <c r="Q37" s="253"/>
      <c r="R37" s="253"/>
      <c r="S37" s="253"/>
      <c r="T37" s="253"/>
      <c r="U37" s="198" t="s">
        <v>736</v>
      </c>
      <c r="V37" s="453">
        <f>'API - BASE'!N124</f>
        <v>0.26</v>
      </c>
    </row>
    <row r="38" spans="1:22" x14ac:dyDescent="0.3">
      <c r="A38" s="200" t="s">
        <v>97</v>
      </c>
      <c r="Q38" s="253"/>
      <c r="R38" s="253"/>
      <c r="S38" s="253"/>
      <c r="T38" s="253"/>
      <c r="U38" s="198"/>
      <c r="V38" s="198"/>
    </row>
    <row r="39" spans="1:22" x14ac:dyDescent="0.3">
      <c r="A39" s="200"/>
      <c r="Q39" s="253"/>
      <c r="R39" s="253"/>
      <c r="S39" s="253"/>
      <c r="T39" s="253"/>
      <c r="U39" s="458" t="s">
        <v>126</v>
      </c>
      <c r="V39" s="454">
        <f>V35-V36</f>
        <v>35.805091443458664</v>
      </c>
    </row>
    <row r="40" spans="1:22" x14ac:dyDescent="0.3">
      <c r="A40" s="198" t="s">
        <v>99</v>
      </c>
      <c r="Q40" s="253"/>
      <c r="R40" s="253"/>
      <c r="S40" s="253"/>
      <c r="T40" s="253"/>
      <c r="U40" s="198" t="s">
        <v>737</v>
      </c>
      <c r="V40" s="255">
        <f>'API - BASE'!N135</f>
        <v>8.6999999999999993</v>
      </c>
    </row>
    <row r="41" spans="1:22" x14ac:dyDescent="0.3">
      <c r="A41" s="200" t="str">
        <f>A40&amp;" as a % of Revenue"</f>
        <v>Policy Acquisition and Underwriting Expenses as a % of Revenue</v>
      </c>
      <c r="Q41" s="253"/>
      <c r="R41" s="253"/>
      <c r="S41" s="253"/>
      <c r="T41" s="253"/>
      <c r="U41" s="459" t="s">
        <v>407</v>
      </c>
      <c r="V41" s="457">
        <f>V39/V40</f>
        <v>4.115527752121686</v>
      </c>
    </row>
    <row r="42" spans="1:22" x14ac:dyDescent="0.3">
      <c r="A42" s="200" t="s">
        <v>100</v>
      </c>
      <c r="Q42" s="253"/>
      <c r="R42" s="253"/>
      <c r="S42" s="253"/>
      <c r="T42" s="253"/>
      <c r="U42" s="253" t="s">
        <v>738</v>
      </c>
      <c r="V42" s="460">
        <v>15.6</v>
      </c>
    </row>
    <row r="43" spans="1:22" x14ac:dyDescent="0.3">
      <c r="A43" s="200" t="s">
        <v>101</v>
      </c>
      <c r="Q43" s="253"/>
      <c r="R43" s="253"/>
      <c r="S43" s="253"/>
      <c r="T43" s="253"/>
      <c r="U43" s="253" t="s">
        <v>739</v>
      </c>
      <c r="V43" s="457">
        <f>V41*V42</f>
        <v>64.202232933098301</v>
      </c>
    </row>
    <row r="44" spans="1:22" x14ac:dyDescent="0.3">
      <c r="A44" s="200" t="s">
        <v>97</v>
      </c>
      <c r="Q44" s="253"/>
      <c r="R44" s="253"/>
      <c r="S44" s="253"/>
      <c r="T44" s="253"/>
      <c r="U44" s="253"/>
      <c r="V44" s="253"/>
    </row>
    <row r="45" spans="1:22" x14ac:dyDescent="0.3">
      <c r="A45" s="200" t="s">
        <v>102</v>
      </c>
      <c r="Q45" s="253"/>
      <c r="R45" s="253"/>
      <c r="S45" s="253"/>
      <c r="T45" s="253"/>
      <c r="U45" s="253" t="s">
        <v>601</v>
      </c>
      <c r="V45" s="462">
        <v>54</v>
      </c>
    </row>
    <row r="46" spans="1:22" x14ac:dyDescent="0.3">
      <c r="A46" s="200" t="s">
        <v>97</v>
      </c>
      <c r="Q46" s="253"/>
      <c r="R46" s="253"/>
      <c r="S46" s="253"/>
      <c r="T46" s="253"/>
      <c r="U46" s="253" t="s">
        <v>740</v>
      </c>
      <c r="V46" s="461">
        <f>(V43-V45)/V45</f>
        <v>0.18893023950182039</v>
      </c>
    </row>
    <row r="47" spans="1:22" x14ac:dyDescent="0.3">
      <c r="A47" s="198"/>
    </row>
    <row r="48" spans="1:22" x14ac:dyDescent="0.3">
      <c r="A48" s="198" t="s">
        <v>103</v>
      </c>
    </row>
    <row r="49" spans="1:1" x14ac:dyDescent="0.3">
      <c r="A49" s="200" t="str">
        <f>A48&amp;" as a % of Revenue"</f>
        <v>Salaries, Wages, and Administrative Personnel Expenses as a % of Revenue</v>
      </c>
    </row>
    <row r="50" spans="1:1" x14ac:dyDescent="0.3">
      <c r="A50" s="200" t="s">
        <v>104</v>
      </c>
    </row>
    <row r="51" spans="1:1" x14ac:dyDescent="0.3">
      <c r="A51" s="200" t="s">
        <v>105</v>
      </c>
    </row>
    <row r="52" spans="1:1" x14ac:dyDescent="0.3">
      <c r="A52" s="200" t="s">
        <v>97</v>
      </c>
    </row>
    <row r="53" spans="1:1" x14ac:dyDescent="0.3">
      <c r="A53" s="200"/>
    </row>
    <row r="54" spans="1:1" x14ac:dyDescent="0.3">
      <c r="A54" s="198" t="s">
        <v>106</v>
      </c>
    </row>
    <row r="55" spans="1:1" x14ac:dyDescent="0.3">
      <c r="A55" s="200" t="str">
        <f>A54&amp;" as a % of revenue"</f>
        <v>Other Operating Income / Expense as a % of revenue</v>
      </c>
    </row>
    <row r="56" spans="1:1" x14ac:dyDescent="0.3">
      <c r="A56" s="200"/>
    </row>
    <row r="57" spans="1:1" x14ac:dyDescent="0.3">
      <c r="A57" s="243" t="s">
        <v>107</v>
      </c>
    </row>
  </sheetData>
  <phoneticPr fontId="19" type="noConversion"/>
  <pageMargins left="0.7" right="0.7" top="0.75" bottom="0.75" header="0.3" footer="0.3"/>
  <pageSetup orientation="portrait" verticalDpi="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914035-97D5-4533-9B80-CD8E0583B9FC}">
  <sheetPr>
    <outlinePr summaryBelow="0" summaryRight="0"/>
  </sheetPr>
  <dimension ref="A1:K80"/>
  <sheetViews>
    <sheetView workbookViewId="0"/>
  </sheetViews>
  <sheetFormatPr defaultColWidth="9.140625" defaultRowHeight="15" customHeight="1" outlineLevelRow="4" x14ac:dyDescent="0.2"/>
  <cols>
    <col min="1" max="1" width="72.42578125" style="289" customWidth="1"/>
    <col min="2" max="11" width="10.5703125" style="289" customWidth="1"/>
    <col min="12" max="16384" width="9.140625" style="289"/>
  </cols>
  <sheetData>
    <row r="1" spans="1:11" ht="15" customHeight="1" x14ac:dyDescent="0.2">
      <c r="A1" s="288" t="s">
        <v>543</v>
      </c>
    </row>
    <row r="2" spans="1:11" ht="15" customHeight="1" x14ac:dyDescent="0.2">
      <c r="A2" s="290" t="s">
        <v>544</v>
      </c>
    </row>
    <row r="3" spans="1:11" ht="15" customHeight="1" x14ac:dyDescent="0.2">
      <c r="A3" s="291"/>
      <c r="B3" s="291"/>
      <c r="C3" s="291"/>
      <c r="D3" s="291"/>
      <c r="E3" s="291"/>
      <c r="F3" s="291"/>
      <c r="G3" s="291"/>
      <c r="H3" s="291"/>
      <c r="I3" s="291"/>
      <c r="J3" s="291"/>
      <c r="K3" s="291"/>
    </row>
    <row r="5" spans="1:11" ht="15" customHeight="1" x14ac:dyDescent="0.2">
      <c r="A5" s="292" t="s">
        <v>545</v>
      </c>
      <c r="B5" s="292"/>
      <c r="C5" s="292"/>
      <c r="D5" s="292"/>
      <c r="E5" s="292"/>
      <c r="F5" s="292"/>
      <c r="G5" s="292"/>
      <c r="H5" s="292"/>
      <c r="I5" s="292"/>
      <c r="J5" s="292"/>
      <c r="K5" s="292"/>
    </row>
    <row r="6" spans="1:11" ht="15" customHeight="1" x14ac:dyDescent="0.2">
      <c r="A6" s="292" t="s">
        <v>546</v>
      </c>
      <c r="B6" s="292"/>
      <c r="C6" s="292"/>
      <c r="D6" s="292"/>
      <c r="E6" s="292"/>
      <c r="F6" s="292"/>
      <c r="G6" s="292"/>
      <c r="H6" s="292"/>
      <c r="I6" s="292"/>
      <c r="J6" s="292"/>
      <c r="K6" s="292"/>
    </row>
    <row r="7" spans="1:11" ht="15" customHeight="1" x14ac:dyDescent="0.2">
      <c r="A7" s="292" t="s">
        <v>547</v>
      </c>
      <c r="B7" s="292"/>
      <c r="C7" s="292"/>
      <c r="D7" s="292"/>
      <c r="E7" s="292"/>
      <c r="F7" s="292"/>
      <c r="G7" s="292"/>
      <c r="H7" s="292"/>
      <c r="I7" s="292"/>
      <c r="J7" s="292"/>
      <c r="K7" s="292"/>
    </row>
    <row r="8" spans="1:11" ht="15" customHeight="1" x14ac:dyDescent="0.2">
      <c r="A8" s="292"/>
      <c r="B8" s="292" t="s">
        <v>548</v>
      </c>
      <c r="C8" s="292" t="s">
        <v>549</v>
      </c>
      <c r="D8" s="292" t="s">
        <v>550</v>
      </c>
      <c r="E8" s="292" t="s">
        <v>551</v>
      </c>
      <c r="F8" s="292" t="s">
        <v>552</v>
      </c>
      <c r="G8" s="292" t="s">
        <v>553</v>
      </c>
      <c r="H8" s="292" t="s">
        <v>554</v>
      </c>
      <c r="I8" s="292" t="s">
        <v>555</v>
      </c>
      <c r="J8" s="292" t="s">
        <v>253</v>
      </c>
      <c r="K8" s="292" t="s">
        <v>257</v>
      </c>
    </row>
    <row r="9" spans="1:11" ht="15" customHeight="1" x14ac:dyDescent="0.2">
      <c r="A9" s="292"/>
      <c r="B9" s="292" t="s">
        <v>556</v>
      </c>
      <c r="C9" s="292" t="s">
        <v>556</v>
      </c>
      <c r="D9" s="292" t="s">
        <v>556</v>
      </c>
      <c r="E9" s="292" t="s">
        <v>556</v>
      </c>
      <c r="F9" s="292" t="s">
        <v>556</v>
      </c>
      <c r="G9" s="292" t="s">
        <v>556</v>
      </c>
      <c r="H9" s="292" t="s">
        <v>556</v>
      </c>
      <c r="I9" s="292" t="s">
        <v>556</v>
      </c>
      <c r="J9" s="292" t="s">
        <v>556</v>
      </c>
      <c r="K9" s="292"/>
    </row>
    <row r="10" spans="1:11" ht="15" customHeight="1" x14ac:dyDescent="0.2">
      <c r="A10" s="293" t="s">
        <v>557</v>
      </c>
      <c r="B10" s="289">
        <v>526.31597899999997</v>
      </c>
      <c r="C10" s="289">
        <v>598.557007</v>
      </c>
      <c r="D10" s="289">
        <v>636.98602300000005</v>
      </c>
      <c r="E10" s="289">
        <v>670.06402600000001</v>
      </c>
      <c r="F10" s="289">
        <v>842.26397699999995</v>
      </c>
      <c r="G10" s="289">
        <v>832.862976</v>
      </c>
      <c r="H10" s="289">
        <v>802.60900900000001</v>
      </c>
      <c r="I10" s="289">
        <v>941.31298800000002</v>
      </c>
      <c r="J10" s="289">
        <v>1176.8570560000001</v>
      </c>
      <c r="K10" s="289">
        <v>1803.3280030000001</v>
      </c>
    </row>
    <row r="11" spans="1:11" ht="15" customHeight="1" outlineLevel="1" collapsed="1" x14ac:dyDescent="0.2">
      <c r="A11" s="294" t="s">
        <v>260</v>
      </c>
      <c r="B11" s="289">
        <v>146.02799999999999</v>
      </c>
      <c r="C11" s="289">
        <v>168.79899599999999</v>
      </c>
      <c r="D11" s="289">
        <v>232.91700700000001</v>
      </c>
      <c r="E11" s="289">
        <v>298.73400900000001</v>
      </c>
      <c r="F11" s="289">
        <v>380.28601099999997</v>
      </c>
      <c r="G11" s="289">
        <v>387.78298999999998</v>
      </c>
      <c r="H11" s="289">
        <v>341.48599200000001</v>
      </c>
      <c r="I11" s="289">
        <v>225.720001</v>
      </c>
      <c r="J11" s="289">
        <v>196.71499600000001</v>
      </c>
      <c r="K11" s="289">
        <v>615.59198000000004</v>
      </c>
    </row>
    <row r="12" spans="1:11" ht="15" hidden="1" customHeight="1" outlineLevel="2" x14ac:dyDescent="0.2">
      <c r="A12" s="295" t="s">
        <v>261</v>
      </c>
      <c r="B12" s="296" t="s">
        <v>262</v>
      </c>
      <c r="C12" s="296" t="s">
        <v>262</v>
      </c>
      <c r="D12" s="296" t="s">
        <v>262</v>
      </c>
      <c r="E12" s="296" t="s">
        <v>262</v>
      </c>
      <c r="F12" s="296" t="s">
        <v>262</v>
      </c>
      <c r="G12" s="296" t="s">
        <v>262</v>
      </c>
      <c r="H12" s="296" t="s">
        <v>262</v>
      </c>
      <c r="I12" s="296" t="s">
        <v>262</v>
      </c>
      <c r="J12" s="296" t="s">
        <v>262</v>
      </c>
      <c r="K12" s="296" t="s">
        <v>262</v>
      </c>
    </row>
    <row r="13" spans="1:11" ht="15" hidden="1" customHeight="1" outlineLevel="2" x14ac:dyDescent="0.2">
      <c r="A13" s="297" t="s">
        <v>263</v>
      </c>
      <c r="B13" s="289">
        <v>112.15100099999999</v>
      </c>
      <c r="C13" s="289">
        <v>97.084000000000003</v>
      </c>
      <c r="D13" s="289">
        <v>125.00900300000001</v>
      </c>
      <c r="E13" s="289">
        <v>166.24800099999999</v>
      </c>
      <c r="F13" s="289">
        <v>237.483994</v>
      </c>
      <c r="G13" s="289">
        <v>182.723007</v>
      </c>
      <c r="H13" s="289">
        <v>202.83900499999999</v>
      </c>
      <c r="I13" s="289">
        <v>71.721999999999994</v>
      </c>
      <c r="J13" s="289">
        <v>42.582999999999998</v>
      </c>
      <c r="K13" s="289">
        <v>483.90100100000001</v>
      </c>
    </row>
    <row r="14" spans="1:11" ht="15" hidden="1" customHeight="1" outlineLevel="2" x14ac:dyDescent="0.2">
      <c r="A14" s="298" t="s">
        <v>264</v>
      </c>
      <c r="B14" s="289">
        <v>17.649000000000001</v>
      </c>
      <c r="C14" s="289">
        <v>45.549999</v>
      </c>
      <c r="D14" s="289">
        <v>48.237000000000002</v>
      </c>
      <c r="E14" s="299">
        <v>53.034999999999997</v>
      </c>
      <c r="F14" s="289">
        <v>59.956001000000001</v>
      </c>
      <c r="G14" s="289">
        <v>41.143002000000003</v>
      </c>
      <c r="H14" s="289">
        <v>35.284999999999997</v>
      </c>
      <c r="I14" s="289">
        <v>51.130001</v>
      </c>
      <c r="J14" s="289">
        <v>51.740001999999997</v>
      </c>
      <c r="K14" s="289">
        <v>34.582999999999998</v>
      </c>
    </row>
    <row r="15" spans="1:11" ht="15" hidden="1" customHeight="1" outlineLevel="3" x14ac:dyDescent="0.2">
      <c r="A15" s="300" t="s">
        <v>265</v>
      </c>
      <c r="B15" s="289">
        <v>17.649000000000001</v>
      </c>
      <c r="C15" s="289">
        <v>45.549999</v>
      </c>
      <c r="D15" s="289">
        <v>48.237000000000002</v>
      </c>
      <c r="E15" s="289">
        <v>53.034999999999997</v>
      </c>
      <c r="F15" s="301" t="s">
        <v>262</v>
      </c>
      <c r="G15" s="301" t="s">
        <v>262</v>
      </c>
      <c r="H15" s="301" t="s">
        <v>262</v>
      </c>
      <c r="I15" s="301" t="s">
        <v>262</v>
      </c>
      <c r="J15" s="301" t="s">
        <v>262</v>
      </c>
      <c r="K15" s="301" t="s">
        <v>262</v>
      </c>
    </row>
    <row r="16" spans="1:11" ht="15" hidden="1" customHeight="1" outlineLevel="3" x14ac:dyDescent="0.2">
      <c r="A16" s="302" t="s">
        <v>266</v>
      </c>
      <c r="B16" s="296" t="s">
        <v>262</v>
      </c>
      <c r="C16" s="296" t="s">
        <v>262</v>
      </c>
      <c r="D16" s="296" t="s">
        <v>262</v>
      </c>
      <c r="E16" s="289">
        <v>0</v>
      </c>
      <c r="F16" s="296" t="s">
        <v>262</v>
      </c>
      <c r="G16" s="296" t="s">
        <v>262</v>
      </c>
      <c r="H16" s="296" t="s">
        <v>262</v>
      </c>
      <c r="I16" s="296" t="s">
        <v>262</v>
      </c>
      <c r="J16" s="296" t="s">
        <v>262</v>
      </c>
      <c r="K16" s="296" t="s">
        <v>262</v>
      </c>
    </row>
    <row r="17" spans="1:11" ht="15" hidden="1" customHeight="1" outlineLevel="2" collapsed="1" x14ac:dyDescent="0.2">
      <c r="A17" s="303" t="s">
        <v>267</v>
      </c>
      <c r="B17" s="304" t="s">
        <v>262</v>
      </c>
      <c r="C17" s="304" t="s">
        <v>262</v>
      </c>
      <c r="D17" s="304" t="s">
        <v>262</v>
      </c>
      <c r="E17" s="304" t="s">
        <v>262</v>
      </c>
      <c r="F17" s="289">
        <v>0</v>
      </c>
      <c r="G17" s="289">
        <v>66.478995999999995</v>
      </c>
      <c r="H17" s="289">
        <v>0.49099999999999999</v>
      </c>
      <c r="I17" s="304" t="s">
        <v>262</v>
      </c>
      <c r="J17" s="304" t="s">
        <v>262</v>
      </c>
      <c r="K17" s="304" t="s">
        <v>262</v>
      </c>
    </row>
    <row r="18" spans="1:11" ht="15" hidden="1" customHeight="1" outlineLevel="3" x14ac:dyDescent="0.2">
      <c r="A18" s="302" t="s">
        <v>268</v>
      </c>
      <c r="B18" s="296" t="s">
        <v>262</v>
      </c>
      <c r="C18" s="296" t="s">
        <v>262</v>
      </c>
      <c r="D18" s="296" t="s">
        <v>262</v>
      </c>
      <c r="E18" s="296" t="s">
        <v>262</v>
      </c>
      <c r="F18" s="296" t="s">
        <v>262</v>
      </c>
      <c r="G18" s="296" t="s">
        <v>262</v>
      </c>
      <c r="H18" s="296" t="s">
        <v>262</v>
      </c>
      <c r="I18" s="296" t="s">
        <v>262</v>
      </c>
      <c r="J18" s="296" t="s">
        <v>262</v>
      </c>
      <c r="K18" s="296" t="s">
        <v>262</v>
      </c>
    </row>
    <row r="19" spans="1:11" ht="15" hidden="1" customHeight="1" outlineLevel="3" x14ac:dyDescent="0.2">
      <c r="A19" s="300" t="s">
        <v>269</v>
      </c>
      <c r="B19" s="301" t="s">
        <v>262</v>
      </c>
      <c r="C19" s="301" t="s">
        <v>262</v>
      </c>
      <c r="D19" s="301" t="s">
        <v>262</v>
      </c>
      <c r="E19" s="301" t="s">
        <v>262</v>
      </c>
      <c r="F19" s="301" t="s">
        <v>262</v>
      </c>
      <c r="G19" s="301" t="s">
        <v>262</v>
      </c>
      <c r="H19" s="301" t="s">
        <v>262</v>
      </c>
      <c r="I19" s="301" t="s">
        <v>262</v>
      </c>
      <c r="J19" s="301" t="s">
        <v>262</v>
      </c>
      <c r="K19" s="301" t="s">
        <v>262</v>
      </c>
    </row>
    <row r="20" spans="1:11" ht="15" hidden="1" customHeight="1" outlineLevel="2" x14ac:dyDescent="0.2">
      <c r="A20" s="295" t="s">
        <v>270</v>
      </c>
      <c r="B20" s="289">
        <v>0</v>
      </c>
      <c r="C20" s="289">
        <v>2.5499999999999998</v>
      </c>
      <c r="D20" s="289">
        <v>23.93</v>
      </c>
      <c r="E20" s="289">
        <v>29.263000000000002</v>
      </c>
      <c r="F20" s="289">
        <v>23.184000000000001</v>
      </c>
      <c r="G20" s="289">
        <v>32.292999000000002</v>
      </c>
      <c r="H20" s="289">
        <v>28.346001000000001</v>
      </c>
      <c r="I20" s="289">
        <v>27.690999999999999</v>
      </c>
      <c r="J20" s="289">
        <v>28.132999000000002</v>
      </c>
      <c r="K20" s="289">
        <v>25.702000000000002</v>
      </c>
    </row>
    <row r="21" spans="1:11" ht="15" hidden="1" customHeight="1" outlineLevel="2" x14ac:dyDescent="0.2">
      <c r="A21" s="297" t="s">
        <v>271</v>
      </c>
      <c r="B21" s="289">
        <v>0</v>
      </c>
      <c r="C21" s="289">
        <v>4.4770000000000003</v>
      </c>
      <c r="D21" s="289">
        <v>4.7869999999999999</v>
      </c>
      <c r="E21" s="289">
        <v>2.1019999999999999</v>
      </c>
      <c r="F21" s="289">
        <v>1.304</v>
      </c>
      <c r="G21" s="289">
        <v>0.84499999999999997</v>
      </c>
      <c r="H21" s="289">
        <v>0.76200000000000001</v>
      </c>
      <c r="I21" s="289">
        <v>0.70499999999999996</v>
      </c>
      <c r="J21" s="289">
        <v>0.36299999999999999</v>
      </c>
      <c r="K21" s="289">
        <v>1.7999999999999999E-2</v>
      </c>
    </row>
    <row r="22" spans="1:11" ht="15" hidden="1" customHeight="1" outlineLevel="2" x14ac:dyDescent="0.2">
      <c r="A22" s="295" t="s">
        <v>272</v>
      </c>
      <c r="B22" s="296" t="s">
        <v>262</v>
      </c>
      <c r="C22" s="296" t="s">
        <v>262</v>
      </c>
      <c r="D22" s="296" t="s">
        <v>262</v>
      </c>
      <c r="E22" s="296" t="s">
        <v>262</v>
      </c>
      <c r="F22" s="289">
        <v>0</v>
      </c>
      <c r="G22" s="289">
        <v>9.81</v>
      </c>
      <c r="H22" s="296" t="s">
        <v>262</v>
      </c>
      <c r="I22" s="296" t="s">
        <v>262</v>
      </c>
      <c r="J22" s="296" t="s">
        <v>262</v>
      </c>
      <c r="K22" s="296" t="s">
        <v>262</v>
      </c>
    </row>
    <row r="23" spans="1:11" ht="15" hidden="1" customHeight="1" outlineLevel="2" x14ac:dyDescent="0.2">
      <c r="A23" s="297" t="s">
        <v>273</v>
      </c>
      <c r="B23" s="289">
        <v>16.228000999999999</v>
      </c>
      <c r="C23" s="289">
        <v>19.138000000000002</v>
      </c>
      <c r="D23" s="289">
        <v>30.954000000000001</v>
      </c>
      <c r="E23" s="289">
        <v>48.085999000000001</v>
      </c>
      <c r="F23" s="289">
        <v>58.358001999999999</v>
      </c>
      <c r="G23" s="289">
        <v>54.490001999999997</v>
      </c>
      <c r="H23" s="289">
        <v>73.763000000000005</v>
      </c>
      <c r="I23" s="289">
        <v>74.471999999999994</v>
      </c>
      <c r="J23" s="289">
        <v>73.896004000000005</v>
      </c>
      <c r="K23" s="289">
        <v>71.388000000000005</v>
      </c>
    </row>
    <row r="24" spans="1:11" ht="15" customHeight="1" outlineLevel="1" x14ac:dyDescent="0.2">
      <c r="A24" s="305" t="s">
        <v>274</v>
      </c>
      <c r="B24" s="289">
        <v>293.39801</v>
      </c>
      <c r="C24" s="289">
        <v>314.41598499999998</v>
      </c>
      <c r="D24" s="289">
        <v>267.73800699999998</v>
      </c>
      <c r="E24" s="289">
        <v>280.53100599999999</v>
      </c>
      <c r="F24" s="289">
        <v>255.88400300000001</v>
      </c>
      <c r="G24" s="289">
        <v>239.45799299999999</v>
      </c>
      <c r="H24" s="289">
        <v>229.21800200000001</v>
      </c>
      <c r="I24" s="289">
        <v>431.341003</v>
      </c>
      <c r="J24" s="289">
        <v>628.942993</v>
      </c>
      <c r="K24" s="289">
        <v>234.86300700000001</v>
      </c>
    </row>
    <row r="25" spans="1:11" ht="15" customHeight="1" outlineLevel="1" x14ac:dyDescent="0.2">
      <c r="A25" s="267" t="s">
        <v>275</v>
      </c>
      <c r="B25" s="301">
        <v>0</v>
      </c>
      <c r="C25" s="301">
        <v>0</v>
      </c>
      <c r="D25" s="301">
        <v>0</v>
      </c>
      <c r="E25" s="301">
        <v>0</v>
      </c>
      <c r="F25" s="289">
        <v>0.80900000000000005</v>
      </c>
      <c r="G25" s="289">
        <v>0.7</v>
      </c>
      <c r="H25" s="289">
        <v>0.7</v>
      </c>
      <c r="I25" s="289">
        <v>2.4</v>
      </c>
      <c r="J25" s="289">
        <v>2.4</v>
      </c>
      <c r="K25" s="289">
        <v>2.9</v>
      </c>
    </row>
    <row r="26" spans="1:11" ht="15" customHeight="1" outlineLevel="1" x14ac:dyDescent="0.2">
      <c r="A26" s="305" t="s">
        <v>276</v>
      </c>
      <c r="B26" s="289">
        <v>1.133</v>
      </c>
      <c r="C26" s="289">
        <v>1.0589999999999999</v>
      </c>
      <c r="D26" s="289">
        <v>1.39</v>
      </c>
      <c r="E26" s="289">
        <v>1.6539999999999999</v>
      </c>
      <c r="F26" s="289">
        <v>1.9830000000000001</v>
      </c>
      <c r="G26" s="289">
        <v>1.792</v>
      </c>
      <c r="H26" s="289">
        <v>1.6160000000000001</v>
      </c>
      <c r="I26" s="289">
        <v>0.58799999999999997</v>
      </c>
      <c r="J26" s="289">
        <v>0.35299999999999998</v>
      </c>
      <c r="K26" s="289">
        <v>1.952</v>
      </c>
    </row>
    <row r="27" spans="1:11" ht="15" customHeight="1" outlineLevel="1" x14ac:dyDescent="0.2">
      <c r="A27" s="267" t="s">
        <v>277</v>
      </c>
      <c r="B27" s="289">
        <v>0</v>
      </c>
      <c r="C27" s="289">
        <v>2.6240000000000001</v>
      </c>
      <c r="D27" s="289">
        <v>1.8580000000000001</v>
      </c>
      <c r="E27" s="289">
        <v>2.8109999999999999</v>
      </c>
      <c r="F27" s="289">
        <v>16.191998999999999</v>
      </c>
      <c r="G27" s="289">
        <v>0.97099999999999997</v>
      </c>
      <c r="H27" s="289">
        <v>1.04</v>
      </c>
      <c r="I27" s="289">
        <v>4.5540000000000003</v>
      </c>
      <c r="J27" s="289">
        <v>4.0839999999999996</v>
      </c>
      <c r="K27" s="289">
        <v>2.8069999999999999</v>
      </c>
    </row>
    <row r="28" spans="1:11" ht="15" customHeight="1" outlineLevel="1" x14ac:dyDescent="0.2">
      <c r="A28" s="305" t="s">
        <v>278</v>
      </c>
      <c r="B28" s="289">
        <v>14.673999999999999</v>
      </c>
      <c r="C28" s="289">
        <v>15.824</v>
      </c>
      <c r="D28" s="289">
        <v>19.631001000000001</v>
      </c>
      <c r="E28" s="289">
        <v>17.275998999999999</v>
      </c>
      <c r="F28" s="289">
        <v>17.806999000000001</v>
      </c>
      <c r="G28" s="289">
        <v>16.667000000000002</v>
      </c>
      <c r="H28" s="289">
        <v>20.254999000000002</v>
      </c>
      <c r="I28" s="289">
        <v>68.382003999999995</v>
      </c>
      <c r="J28" s="289">
        <v>68.156998000000002</v>
      </c>
      <c r="K28" s="289">
        <v>34.998001000000002</v>
      </c>
    </row>
    <row r="29" spans="1:11" ht="15" customHeight="1" outlineLevel="1" x14ac:dyDescent="0.2">
      <c r="A29" s="294" t="s">
        <v>279</v>
      </c>
      <c r="B29" s="304" t="s">
        <v>262</v>
      </c>
      <c r="C29" s="304" t="s">
        <v>262</v>
      </c>
      <c r="D29" s="304" t="s">
        <v>262</v>
      </c>
      <c r="E29" s="304" t="s">
        <v>262</v>
      </c>
      <c r="F29" s="304" t="s">
        <v>262</v>
      </c>
      <c r="G29" s="304" t="s">
        <v>262</v>
      </c>
      <c r="H29" s="304" t="s">
        <v>262</v>
      </c>
      <c r="I29" s="304" t="s">
        <v>262</v>
      </c>
      <c r="J29" s="304" t="s">
        <v>262</v>
      </c>
      <c r="K29" s="304" t="s">
        <v>262</v>
      </c>
    </row>
    <row r="30" spans="1:11" ht="15" customHeight="1" outlineLevel="2" x14ac:dyDescent="0.2">
      <c r="A30" s="295" t="s">
        <v>280</v>
      </c>
      <c r="B30" s="296" t="s">
        <v>262</v>
      </c>
      <c r="C30" s="296" t="s">
        <v>262</v>
      </c>
      <c r="D30" s="296" t="s">
        <v>262</v>
      </c>
      <c r="E30" s="296" t="s">
        <v>262</v>
      </c>
      <c r="F30" s="296" t="s">
        <v>262</v>
      </c>
      <c r="G30" s="296" t="s">
        <v>262</v>
      </c>
      <c r="H30" s="296" t="s">
        <v>262</v>
      </c>
      <c r="I30" s="296" t="s">
        <v>262</v>
      </c>
      <c r="J30" s="296" t="s">
        <v>262</v>
      </c>
      <c r="K30" s="296" t="s">
        <v>262</v>
      </c>
    </row>
    <row r="31" spans="1:11" ht="15" customHeight="1" outlineLevel="1" x14ac:dyDescent="0.2">
      <c r="A31" s="267" t="s">
        <v>281</v>
      </c>
      <c r="B31" s="301" t="s">
        <v>262</v>
      </c>
      <c r="C31" s="301" t="s">
        <v>262</v>
      </c>
      <c r="D31" s="301" t="s">
        <v>262</v>
      </c>
      <c r="E31" s="301" t="s">
        <v>262</v>
      </c>
      <c r="F31" s="301" t="s">
        <v>262</v>
      </c>
      <c r="G31" s="301" t="s">
        <v>262</v>
      </c>
      <c r="H31" s="301" t="s">
        <v>262</v>
      </c>
      <c r="I31" s="301" t="s">
        <v>262</v>
      </c>
      <c r="J31" s="301" t="s">
        <v>262</v>
      </c>
      <c r="K31" s="301" t="s">
        <v>262</v>
      </c>
    </row>
    <row r="32" spans="1:11" ht="15" customHeight="1" outlineLevel="1" x14ac:dyDescent="0.2">
      <c r="A32" s="305" t="s">
        <v>282</v>
      </c>
      <c r="B32" s="289">
        <v>28.065999999999999</v>
      </c>
      <c r="C32" s="289">
        <v>34.096001000000001</v>
      </c>
      <c r="D32" s="289">
        <v>40.747002000000002</v>
      </c>
      <c r="E32" s="289">
        <v>24.554001</v>
      </c>
      <c r="F32" s="289">
        <v>22.285999</v>
      </c>
      <c r="G32" s="289">
        <v>17.931999000000001</v>
      </c>
      <c r="H32" s="289">
        <v>17.983000000000001</v>
      </c>
      <c r="I32" s="289">
        <v>36.375999</v>
      </c>
      <c r="J32" s="289">
        <v>26.355</v>
      </c>
      <c r="K32" s="289">
        <v>66.626998999999998</v>
      </c>
    </row>
    <row r="33" spans="1:11" ht="15" customHeight="1" outlineLevel="1" x14ac:dyDescent="0.2">
      <c r="A33" s="294" t="s">
        <v>283</v>
      </c>
      <c r="B33" s="304" t="s">
        <v>262</v>
      </c>
      <c r="C33" s="304" t="s">
        <v>262</v>
      </c>
      <c r="D33" s="304" t="s">
        <v>262</v>
      </c>
      <c r="E33" s="306">
        <v>0</v>
      </c>
      <c r="F33" s="306">
        <v>103.104004</v>
      </c>
      <c r="G33" s="306">
        <v>123.91100299999999</v>
      </c>
      <c r="H33" s="306">
        <v>132.678009</v>
      </c>
      <c r="I33" s="306">
        <v>85.145995999999997</v>
      </c>
      <c r="J33" s="306">
        <v>76.650002000000001</v>
      </c>
      <c r="K33" s="306">
        <v>688.35900900000001</v>
      </c>
    </row>
    <row r="34" spans="1:11" ht="15" customHeight="1" outlineLevel="2" x14ac:dyDescent="0.2">
      <c r="A34" s="295" t="s">
        <v>284</v>
      </c>
      <c r="B34" s="296" t="s">
        <v>262</v>
      </c>
      <c r="C34" s="296" t="s">
        <v>262</v>
      </c>
      <c r="D34" s="296" t="s">
        <v>262</v>
      </c>
      <c r="E34" s="289">
        <v>0</v>
      </c>
      <c r="F34" s="289">
        <v>2.3439999999999999</v>
      </c>
      <c r="G34" s="289">
        <v>11.151</v>
      </c>
      <c r="H34" s="289">
        <v>16.155000999999999</v>
      </c>
      <c r="I34" s="289">
        <v>14.127000000000001</v>
      </c>
      <c r="J34" s="289">
        <v>11.984999999999999</v>
      </c>
      <c r="K34" s="289">
        <v>71.594002000000003</v>
      </c>
    </row>
    <row r="35" spans="1:11" ht="15" customHeight="1" outlineLevel="2" x14ac:dyDescent="0.2">
      <c r="A35" s="297" t="s">
        <v>285</v>
      </c>
      <c r="B35" s="301" t="s">
        <v>262</v>
      </c>
      <c r="C35" s="301" t="s">
        <v>262</v>
      </c>
      <c r="D35" s="301" t="s">
        <v>262</v>
      </c>
      <c r="E35" s="289">
        <v>0</v>
      </c>
      <c r="F35" s="289">
        <v>100.760002</v>
      </c>
      <c r="G35" s="289">
        <v>112.760002</v>
      </c>
      <c r="H35" s="289">
        <v>116.523003</v>
      </c>
      <c r="I35" s="289">
        <v>71.018996999999999</v>
      </c>
      <c r="J35" s="289">
        <v>64.665001000000004</v>
      </c>
      <c r="K35" s="289">
        <v>616.76501499999995</v>
      </c>
    </row>
    <row r="36" spans="1:11" ht="15" customHeight="1" outlineLevel="1" x14ac:dyDescent="0.2">
      <c r="A36" s="305" t="s">
        <v>286</v>
      </c>
      <c r="B36" s="289">
        <v>14.071</v>
      </c>
      <c r="C36" s="289">
        <v>15.013999999999999</v>
      </c>
      <c r="D36" s="289">
        <v>18.601998999999999</v>
      </c>
      <c r="E36" s="289">
        <v>16.638999999999999</v>
      </c>
      <c r="F36" s="289">
        <v>16.712</v>
      </c>
      <c r="G36" s="289">
        <v>16.507000000000001</v>
      </c>
      <c r="H36" s="289">
        <v>21.663</v>
      </c>
      <c r="I36" s="289">
        <v>43.858001999999999</v>
      </c>
      <c r="J36" s="289">
        <v>57.695</v>
      </c>
      <c r="K36" s="289">
        <v>45.521999000000001</v>
      </c>
    </row>
    <row r="37" spans="1:11" ht="15" customHeight="1" outlineLevel="1" x14ac:dyDescent="0.2">
      <c r="A37" s="267" t="s">
        <v>287</v>
      </c>
      <c r="B37" s="289">
        <v>13.132</v>
      </c>
      <c r="C37" s="289">
        <v>12.292</v>
      </c>
      <c r="D37" s="289">
        <v>11.786</v>
      </c>
      <c r="E37" s="289">
        <v>11.374000000000001</v>
      </c>
      <c r="F37" s="289">
        <v>12.465</v>
      </c>
      <c r="G37" s="289">
        <v>13.337999999999999</v>
      </c>
      <c r="H37" s="289">
        <v>14.698</v>
      </c>
      <c r="I37" s="289">
        <v>12.766999999999999</v>
      </c>
      <c r="J37" s="289">
        <v>14.231999999999999</v>
      </c>
      <c r="K37" s="289">
        <v>17.91</v>
      </c>
    </row>
    <row r="38" spans="1:11" ht="15" customHeight="1" outlineLevel="1" x14ac:dyDescent="0.2">
      <c r="A38" s="307" t="s">
        <v>288</v>
      </c>
      <c r="B38" s="289">
        <v>15.814</v>
      </c>
      <c r="C38" s="289">
        <v>31.934000000000001</v>
      </c>
      <c r="D38" s="289">
        <v>39.127997999999998</v>
      </c>
      <c r="E38" s="289">
        <v>11.342000000000001</v>
      </c>
      <c r="F38" s="289">
        <v>9.7409999999999997</v>
      </c>
      <c r="G38" s="289">
        <v>9.0039999999999996</v>
      </c>
      <c r="H38" s="299">
        <v>17.079999999999998</v>
      </c>
      <c r="I38" s="299">
        <v>26.612998999999999</v>
      </c>
      <c r="J38" s="299">
        <v>16.920999999999999</v>
      </c>
      <c r="K38" s="299">
        <v>32.447997999999998</v>
      </c>
    </row>
    <row r="39" spans="1:11" ht="15" customHeight="1" outlineLevel="2" x14ac:dyDescent="0.2">
      <c r="A39" s="297" t="s">
        <v>289</v>
      </c>
      <c r="B39" s="301" t="s">
        <v>262</v>
      </c>
      <c r="C39" s="301" t="s">
        <v>262</v>
      </c>
      <c r="D39" s="301" t="s">
        <v>262</v>
      </c>
      <c r="E39" s="301" t="s">
        <v>262</v>
      </c>
      <c r="F39" s="301" t="s">
        <v>262</v>
      </c>
      <c r="G39" s="301" t="s">
        <v>262</v>
      </c>
      <c r="H39" s="289">
        <v>0.48399999999999999</v>
      </c>
      <c r="I39" s="289">
        <v>4.0019999999999998</v>
      </c>
      <c r="J39" s="289">
        <v>2.2040000000000002</v>
      </c>
      <c r="K39" s="289">
        <v>0.77700000000000002</v>
      </c>
    </row>
    <row r="40" spans="1:11" ht="15" customHeight="1" outlineLevel="2" x14ac:dyDescent="0.2">
      <c r="A40" s="295" t="s">
        <v>290</v>
      </c>
      <c r="B40" s="296" t="s">
        <v>262</v>
      </c>
      <c r="C40" s="296" t="s">
        <v>262</v>
      </c>
      <c r="D40" s="296" t="s">
        <v>262</v>
      </c>
      <c r="E40" s="296" t="s">
        <v>262</v>
      </c>
      <c r="F40" s="296" t="s">
        <v>262</v>
      </c>
      <c r="G40" s="296" t="s">
        <v>262</v>
      </c>
      <c r="H40" s="289">
        <v>16.596001000000001</v>
      </c>
      <c r="I40" s="289">
        <v>22.611000000000001</v>
      </c>
      <c r="J40" s="289">
        <v>14.717000000000001</v>
      </c>
      <c r="K40" s="289">
        <v>31.670999999999999</v>
      </c>
    </row>
    <row r="41" spans="1:11" ht="15" customHeight="1" outlineLevel="1" x14ac:dyDescent="0.2">
      <c r="A41" s="267" t="s">
        <v>291</v>
      </c>
      <c r="B41" s="289">
        <v>0</v>
      </c>
      <c r="C41" s="289">
        <v>2.4990000000000001</v>
      </c>
      <c r="D41" s="289">
        <v>3.1890000000000001</v>
      </c>
      <c r="E41" s="289">
        <v>0.25</v>
      </c>
      <c r="F41" s="301">
        <v>0</v>
      </c>
      <c r="G41" s="301">
        <v>0</v>
      </c>
      <c r="H41" s="301">
        <v>0</v>
      </c>
      <c r="I41" s="301">
        <v>0</v>
      </c>
      <c r="J41" s="301">
        <v>0</v>
      </c>
      <c r="K41" s="301">
        <v>0</v>
      </c>
    </row>
    <row r="42" spans="1:11" ht="15" customHeight="1" outlineLevel="1" x14ac:dyDescent="0.2">
      <c r="A42" s="305" t="s">
        <v>292</v>
      </c>
      <c r="B42" s="296" t="s">
        <v>262</v>
      </c>
      <c r="C42" s="296" t="s">
        <v>262</v>
      </c>
      <c r="D42" s="289">
        <v>0</v>
      </c>
      <c r="E42" s="289">
        <v>4.899</v>
      </c>
      <c r="F42" s="289">
        <v>4.9950000000000001</v>
      </c>
      <c r="G42" s="289">
        <v>4.8</v>
      </c>
      <c r="H42" s="289">
        <v>4.1920000000000002</v>
      </c>
      <c r="I42" s="289">
        <v>3.5680000000000001</v>
      </c>
      <c r="J42" s="289">
        <v>10.635999999999999</v>
      </c>
      <c r="K42" s="289">
        <v>10.577999999999999</v>
      </c>
    </row>
    <row r="43" spans="1:11" ht="15" customHeight="1" outlineLevel="1" x14ac:dyDescent="0.2">
      <c r="A43" s="267" t="s">
        <v>293</v>
      </c>
      <c r="B43" s="301" t="s">
        <v>262</v>
      </c>
      <c r="C43" s="301" t="s">
        <v>262</v>
      </c>
      <c r="D43" s="301" t="s">
        <v>262</v>
      </c>
      <c r="E43" s="301" t="s">
        <v>262</v>
      </c>
      <c r="F43" s="301" t="s">
        <v>262</v>
      </c>
      <c r="G43" s="301" t="s">
        <v>262</v>
      </c>
      <c r="H43" s="301" t="s">
        <v>262</v>
      </c>
      <c r="I43" s="301" t="s">
        <v>262</v>
      </c>
      <c r="J43" s="301" t="s">
        <v>262</v>
      </c>
      <c r="K43" s="301" t="s">
        <v>262</v>
      </c>
    </row>
    <row r="44" spans="1:11" ht="15" customHeight="1" outlineLevel="1" x14ac:dyDescent="0.2">
      <c r="A44" s="305" t="s">
        <v>294</v>
      </c>
      <c r="B44" s="296" t="s">
        <v>262</v>
      </c>
      <c r="C44" s="296" t="s">
        <v>262</v>
      </c>
      <c r="D44" s="296" t="s">
        <v>262</v>
      </c>
      <c r="E44" s="296" t="s">
        <v>262</v>
      </c>
      <c r="F44" s="296" t="s">
        <v>262</v>
      </c>
      <c r="G44" s="296" t="s">
        <v>262</v>
      </c>
      <c r="H44" s="296" t="s">
        <v>262</v>
      </c>
      <c r="I44" s="289">
        <v>0</v>
      </c>
      <c r="J44" s="289">
        <v>73.716003000000001</v>
      </c>
      <c r="K44" s="289">
        <v>48.771999000000001</v>
      </c>
    </row>
    <row r="45" spans="1:11" ht="15" customHeight="1" outlineLevel="1" x14ac:dyDescent="0.2">
      <c r="A45" s="305" t="s">
        <v>562</v>
      </c>
      <c r="B45" s="296">
        <f>B41+B38+B27+B26+B25</f>
        <v>16.946999999999999</v>
      </c>
      <c r="C45" s="296">
        <f t="shared" ref="C45:K45" si="0">C41+C38+C27+C26+C25</f>
        <v>38.116</v>
      </c>
      <c r="D45" s="296">
        <f t="shared" si="0"/>
        <v>45.564997999999996</v>
      </c>
      <c r="E45" s="296">
        <f t="shared" si="0"/>
        <v>16.057000000000002</v>
      </c>
      <c r="F45" s="296">
        <f>F41+F38+F27+F26+F25</f>
        <v>28.724999</v>
      </c>
      <c r="G45" s="296">
        <f t="shared" si="0"/>
        <v>12.466999999999999</v>
      </c>
      <c r="H45" s="296">
        <f t="shared" si="0"/>
        <v>20.435999999999996</v>
      </c>
      <c r="I45" s="296">
        <f t="shared" si="0"/>
        <v>34.154998999999997</v>
      </c>
      <c r="J45" s="296">
        <f t="shared" si="0"/>
        <v>23.757999999999999</v>
      </c>
      <c r="K45" s="296">
        <f t="shared" si="0"/>
        <v>40.106997999999997</v>
      </c>
    </row>
    <row r="46" spans="1:11" ht="15" customHeight="1" x14ac:dyDescent="0.2">
      <c r="A46" s="304" t="s">
        <v>295</v>
      </c>
      <c r="B46" s="289">
        <v>526.31597899999997</v>
      </c>
      <c r="C46" s="289">
        <v>598.557007</v>
      </c>
      <c r="D46" s="289">
        <v>636.98602300000005</v>
      </c>
      <c r="E46" s="289">
        <v>670.06402600000001</v>
      </c>
      <c r="F46" s="289">
        <v>842.26397699999995</v>
      </c>
      <c r="G46" s="289">
        <v>832.862976</v>
      </c>
      <c r="H46" s="289">
        <v>802.60900900000001</v>
      </c>
      <c r="I46" s="289">
        <v>941.31298800000002</v>
      </c>
      <c r="J46" s="289">
        <v>1176.8570560000001</v>
      </c>
      <c r="K46" s="289">
        <v>1803.3280030000001</v>
      </c>
    </row>
    <row r="47" spans="1:11" ht="15" customHeight="1" outlineLevel="1" x14ac:dyDescent="0.2">
      <c r="A47" s="307" t="s">
        <v>296</v>
      </c>
      <c r="B47" s="289">
        <v>365.79501299999998</v>
      </c>
      <c r="C47" s="289">
        <v>415.97198500000002</v>
      </c>
      <c r="D47" s="289">
        <v>399.26400799999999</v>
      </c>
      <c r="E47" s="289">
        <v>426.317993</v>
      </c>
      <c r="F47" s="289">
        <v>648.28900099999998</v>
      </c>
      <c r="G47" s="289">
        <v>651.42199700000003</v>
      </c>
      <c r="H47" s="289">
        <v>617.06597899999997</v>
      </c>
      <c r="I47" s="289">
        <v>740.17700200000002</v>
      </c>
      <c r="J47" s="289">
        <v>762.39898700000003</v>
      </c>
      <c r="K47" s="289">
        <v>1548.520996</v>
      </c>
    </row>
    <row r="48" spans="1:11" ht="15" customHeight="1" outlineLevel="2" x14ac:dyDescent="0.2">
      <c r="A48" s="297" t="s">
        <v>224</v>
      </c>
      <c r="B48" s="289">
        <v>43.686000999999997</v>
      </c>
      <c r="C48" s="289">
        <v>48.908000999999999</v>
      </c>
      <c r="D48" s="289">
        <v>51.689999</v>
      </c>
      <c r="E48" s="289">
        <v>70.491996999999998</v>
      </c>
      <c r="F48" s="289">
        <v>198.578003</v>
      </c>
      <c r="G48" s="289">
        <v>207.58599899999999</v>
      </c>
      <c r="H48" s="289">
        <v>214.69700599999999</v>
      </c>
      <c r="I48" s="289">
        <v>212.169006</v>
      </c>
      <c r="J48" s="289">
        <v>237.16499300000001</v>
      </c>
      <c r="K48" s="289">
        <v>863.76501499999995</v>
      </c>
    </row>
    <row r="49" spans="1:11" ht="15" customHeight="1" outlineLevel="2" x14ac:dyDescent="0.2">
      <c r="A49" s="295" t="s">
        <v>297</v>
      </c>
      <c r="B49" s="289">
        <v>171.90699799999999</v>
      </c>
      <c r="C49" s="289">
        <v>214.070999</v>
      </c>
      <c r="D49" s="289">
        <v>187.28999300000001</v>
      </c>
      <c r="E49" s="289">
        <v>175.80299400000001</v>
      </c>
      <c r="F49" s="289">
        <v>164.895996</v>
      </c>
      <c r="G49" s="289">
        <v>157.729004</v>
      </c>
      <c r="H49" s="289">
        <v>181.162994</v>
      </c>
      <c r="I49" s="289">
        <v>269.39898699999998</v>
      </c>
      <c r="J49" s="289">
        <v>366.743988</v>
      </c>
      <c r="K49" s="289">
        <v>368.04699699999998</v>
      </c>
    </row>
    <row r="50" spans="1:11" ht="15" customHeight="1" outlineLevel="2" x14ac:dyDescent="0.2">
      <c r="A50" s="297" t="s">
        <v>298</v>
      </c>
      <c r="B50" s="301" t="s">
        <v>262</v>
      </c>
      <c r="C50" s="301" t="s">
        <v>262</v>
      </c>
      <c r="D50" s="301" t="s">
        <v>262</v>
      </c>
      <c r="E50" s="301" t="s">
        <v>262</v>
      </c>
      <c r="F50" s="301" t="s">
        <v>262</v>
      </c>
      <c r="G50" s="301" t="s">
        <v>262</v>
      </c>
      <c r="H50" s="301" t="s">
        <v>262</v>
      </c>
      <c r="I50" s="301" t="s">
        <v>262</v>
      </c>
      <c r="J50" s="301" t="s">
        <v>262</v>
      </c>
      <c r="K50" s="301" t="s">
        <v>262</v>
      </c>
    </row>
    <row r="51" spans="1:11" ht="15" customHeight="1" outlineLevel="2" collapsed="1" x14ac:dyDescent="0.2">
      <c r="A51" s="298" t="s">
        <v>299</v>
      </c>
      <c r="B51" s="299">
        <v>8.5359999999999996</v>
      </c>
      <c r="C51" s="299">
        <v>9.2059999999999995</v>
      </c>
      <c r="D51" s="299">
        <v>11.298999999999999</v>
      </c>
      <c r="E51" s="299">
        <v>11.164</v>
      </c>
      <c r="F51" s="299">
        <v>10.983000000000001</v>
      </c>
      <c r="G51" s="299">
        <v>12.674999</v>
      </c>
      <c r="H51" s="299">
        <v>15.648001000000001</v>
      </c>
      <c r="I51" s="299">
        <v>21.550999000000001</v>
      </c>
      <c r="J51" s="299">
        <v>29.223998999999999</v>
      </c>
      <c r="K51" s="299">
        <v>33.121001999999997</v>
      </c>
    </row>
    <row r="52" spans="1:11" ht="15" hidden="1" customHeight="1" outlineLevel="3" x14ac:dyDescent="0.2">
      <c r="A52" s="300" t="s">
        <v>300</v>
      </c>
      <c r="B52" s="289">
        <v>4.5039999999999996</v>
      </c>
      <c r="C52" s="289">
        <v>4.38</v>
      </c>
      <c r="D52" s="289">
        <v>4.9829999999999997</v>
      </c>
      <c r="E52" s="289">
        <v>4.6509999999999998</v>
      </c>
      <c r="F52" s="289">
        <v>4.9480000000000004</v>
      </c>
      <c r="G52" s="289">
        <v>6.1920000000000002</v>
      </c>
      <c r="H52" s="289">
        <v>5.5890000000000004</v>
      </c>
      <c r="I52" s="289">
        <v>11.37</v>
      </c>
      <c r="J52" s="289">
        <v>13.771000000000001</v>
      </c>
      <c r="K52" s="289">
        <v>18.587</v>
      </c>
    </row>
    <row r="53" spans="1:11" ht="15" hidden="1" customHeight="1" outlineLevel="3" x14ac:dyDescent="0.2">
      <c r="A53" s="302" t="s">
        <v>301</v>
      </c>
      <c r="B53" s="289">
        <v>4.032</v>
      </c>
      <c r="C53" s="289">
        <v>4.8259999999999996</v>
      </c>
      <c r="D53" s="289">
        <v>6.3159999999999998</v>
      </c>
      <c r="E53" s="289">
        <v>6.5129999999999999</v>
      </c>
      <c r="F53" s="289">
        <v>6.0350000000000001</v>
      </c>
      <c r="G53" s="289">
        <v>6.4829999999999997</v>
      </c>
      <c r="H53" s="289">
        <v>10.058999999999999</v>
      </c>
      <c r="I53" s="289">
        <v>10.180999999999999</v>
      </c>
      <c r="J53" s="289">
        <v>15.452999999999999</v>
      </c>
      <c r="K53" s="289">
        <v>14.534000000000001</v>
      </c>
    </row>
    <row r="54" spans="1:11" ht="15" customHeight="1" outlineLevel="2" x14ac:dyDescent="0.2">
      <c r="A54" s="297" t="s">
        <v>302</v>
      </c>
      <c r="B54" s="289">
        <v>4.66</v>
      </c>
      <c r="C54" s="289">
        <v>0.218</v>
      </c>
      <c r="D54" s="289">
        <v>1.0840000000000001</v>
      </c>
      <c r="E54" s="289">
        <v>3.294</v>
      </c>
      <c r="F54" s="289">
        <v>1.4999999999999999E-2</v>
      </c>
      <c r="G54" s="289">
        <v>1.4E-2</v>
      </c>
      <c r="H54" s="289">
        <v>7.5999999999999998E-2</v>
      </c>
      <c r="I54" s="289">
        <v>8.6999999999999994E-2</v>
      </c>
      <c r="J54" s="301">
        <v>0</v>
      </c>
      <c r="K54" s="301">
        <v>0</v>
      </c>
    </row>
    <row r="55" spans="1:11" ht="15" customHeight="1" outlineLevel="2" x14ac:dyDescent="0.2">
      <c r="A55" s="295" t="s">
        <v>303</v>
      </c>
      <c r="B55" s="296">
        <v>0</v>
      </c>
      <c r="C55" s="296">
        <v>0</v>
      </c>
      <c r="D55" s="296">
        <v>0</v>
      </c>
      <c r="E55" s="296">
        <v>0</v>
      </c>
      <c r="F55" s="289">
        <v>13.885</v>
      </c>
      <c r="G55" s="296">
        <v>0</v>
      </c>
      <c r="H55" s="296">
        <v>0</v>
      </c>
      <c r="I55" s="296">
        <v>0</v>
      </c>
      <c r="J55" s="289">
        <v>4.0170000000000003</v>
      </c>
      <c r="K55" s="289">
        <v>8.6059999999999999</v>
      </c>
    </row>
    <row r="56" spans="1:11" ht="15" customHeight="1" outlineLevel="2" x14ac:dyDescent="0.2">
      <c r="A56" s="297" t="s">
        <v>304</v>
      </c>
      <c r="B56" s="289">
        <v>1.9E-2</v>
      </c>
      <c r="C56" s="301">
        <v>0</v>
      </c>
      <c r="D56" s="301">
        <v>0</v>
      </c>
      <c r="E56" s="301">
        <v>0</v>
      </c>
      <c r="F56" s="301">
        <v>0</v>
      </c>
      <c r="G56" s="301">
        <v>0</v>
      </c>
      <c r="H56" s="301">
        <v>0</v>
      </c>
      <c r="I56" s="301">
        <v>0</v>
      </c>
      <c r="J56" s="301">
        <v>0</v>
      </c>
      <c r="K56" s="301">
        <v>0</v>
      </c>
    </row>
    <row r="57" spans="1:11" ht="15" customHeight="1" outlineLevel="2" collapsed="1" x14ac:dyDescent="0.2">
      <c r="A57" s="298" t="s">
        <v>305</v>
      </c>
      <c r="B57" s="289">
        <v>6.7720000000000002</v>
      </c>
      <c r="C57" s="289">
        <v>17.683001000000001</v>
      </c>
      <c r="D57" s="289">
        <v>18.472000000000001</v>
      </c>
      <c r="E57" s="289">
        <v>26.702000000000002</v>
      </c>
      <c r="F57" s="289">
        <v>20.207001000000002</v>
      </c>
      <c r="G57" s="289">
        <v>22.200001</v>
      </c>
      <c r="H57" s="299">
        <v>28.029001000000001</v>
      </c>
      <c r="I57" s="299">
        <v>44.784999999999997</v>
      </c>
      <c r="J57" s="299">
        <v>53.006000999999998</v>
      </c>
      <c r="K57" s="299">
        <v>41.728000999999999</v>
      </c>
    </row>
    <row r="58" spans="1:11" ht="15" hidden="1" customHeight="1" outlineLevel="3" x14ac:dyDescent="0.2">
      <c r="A58" s="308" t="s">
        <v>306</v>
      </c>
      <c r="B58" s="304" t="s">
        <v>262</v>
      </c>
      <c r="C58" s="304" t="s">
        <v>262</v>
      </c>
      <c r="D58" s="304" t="s">
        <v>262</v>
      </c>
      <c r="E58" s="304" t="s">
        <v>262</v>
      </c>
      <c r="F58" s="304" t="s">
        <v>262</v>
      </c>
      <c r="G58" s="304" t="s">
        <v>262</v>
      </c>
      <c r="H58" s="289">
        <v>27.516000999999999</v>
      </c>
      <c r="I58" s="306">
        <v>40.771000000000001</v>
      </c>
      <c r="J58" s="306">
        <v>50.803001000000002</v>
      </c>
      <c r="K58" s="306">
        <v>41.006999999999998</v>
      </c>
    </row>
    <row r="59" spans="1:11" ht="15" hidden="1" customHeight="1" outlineLevel="4" x14ac:dyDescent="0.2">
      <c r="A59" s="309" t="s">
        <v>307</v>
      </c>
      <c r="B59" s="296" t="s">
        <v>262</v>
      </c>
      <c r="C59" s="296" t="s">
        <v>262</v>
      </c>
      <c r="D59" s="296" t="s">
        <v>262</v>
      </c>
      <c r="E59" s="296" t="s">
        <v>262</v>
      </c>
      <c r="F59" s="296" t="s">
        <v>262</v>
      </c>
      <c r="G59" s="296" t="s">
        <v>262</v>
      </c>
      <c r="H59" s="296" t="s">
        <v>262</v>
      </c>
      <c r="I59" s="289">
        <v>9.7639999999999993</v>
      </c>
      <c r="J59" s="289">
        <v>19.318000999999999</v>
      </c>
      <c r="K59" s="289">
        <v>17.646000000000001</v>
      </c>
    </row>
    <row r="60" spans="1:11" ht="15" hidden="1" customHeight="1" outlineLevel="4" x14ac:dyDescent="0.2">
      <c r="A60" s="310" t="s">
        <v>308</v>
      </c>
      <c r="B60" s="301" t="s">
        <v>262</v>
      </c>
      <c r="C60" s="301" t="s">
        <v>262</v>
      </c>
      <c r="D60" s="301" t="s">
        <v>262</v>
      </c>
      <c r="E60" s="301" t="s">
        <v>262</v>
      </c>
      <c r="F60" s="301" t="s">
        <v>262</v>
      </c>
      <c r="G60" s="301" t="s">
        <v>262</v>
      </c>
      <c r="H60" s="301" t="s">
        <v>262</v>
      </c>
      <c r="I60" s="289">
        <v>31.007000000000001</v>
      </c>
      <c r="J60" s="289">
        <v>31.485001</v>
      </c>
      <c r="K60" s="289">
        <v>23.361000000000001</v>
      </c>
    </row>
    <row r="61" spans="1:11" ht="15" hidden="1" customHeight="1" outlineLevel="3" x14ac:dyDescent="0.2">
      <c r="A61" s="302" t="s">
        <v>309</v>
      </c>
      <c r="B61" s="296" t="s">
        <v>262</v>
      </c>
      <c r="C61" s="296" t="s">
        <v>262</v>
      </c>
      <c r="D61" s="296" t="s">
        <v>262</v>
      </c>
      <c r="E61" s="296" t="s">
        <v>262</v>
      </c>
      <c r="F61" s="296" t="s">
        <v>262</v>
      </c>
      <c r="G61" s="296" t="s">
        <v>262</v>
      </c>
      <c r="H61" s="289">
        <v>0.51300000000000001</v>
      </c>
      <c r="I61" s="289">
        <v>4.0140000000000002</v>
      </c>
      <c r="J61" s="289">
        <v>2.2029999999999998</v>
      </c>
      <c r="K61" s="289">
        <v>0.72099999999999997</v>
      </c>
    </row>
    <row r="62" spans="1:11" ht="15" customHeight="1" outlineLevel="2" x14ac:dyDescent="0.2">
      <c r="A62" s="297" t="s">
        <v>310</v>
      </c>
      <c r="B62" s="289">
        <v>0.54300000000000004</v>
      </c>
      <c r="C62" s="301" t="s">
        <v>262</v>
      </c>
      <c r="D62" s="301" t="s">
        <v>262</v>
      </c>
      <c r="E62" s="301" t="s">
        <v>262</v>
      </c>
      <c r="F62" s="301" t="s">
        <v>262</v>
      </c>
      <c r="G62" s="301" t="s">
        <v>262</v>
      </c>
      <c r="H62" s="301" t="s">
        <v>262</v>
      </c>
      <c r="I62" s="301" t="s">
        <v>262</v>
      </c>
      <c r="J62" s="301">
        <v>0</v>
      </c>
      <c r="K62" s="301">
        <v>0</v>
      </c>
    </row>
    <row r="63" spans="1:11" ht="15" customHeight="1" outlineLevel="2" x14ac:dyDescent="0.2">
      <c r="A63" s="295" t="s">
        <v>311</v>
      </c>
      <c r="B63" s="296" t="s">
        <v>262</v>
      </c>
      <c r="C63" s="296" t="s">
        <v>262</v>
      </c>
      <c r="D63" s="296" t="s">
        <v>262</v>
      </c>
      <c r="E63" s="296" t="s">
        <v>262</v>
      </c>
      <c r="F63" s="296" t="s">
        <v>262</v>
      </c>
      <c r="G63" s="296" t="s">
        <v>262</v>
      </c>
      <c r="H63" s="296" t="s">
        <v>262</v>
      </c>
      <c r="I63" s="296" t="s">
        <v>262</v>
      </c>
      <c r="J63" s="289">
        <v>0</v>
      </c>
      <c r="K63" s="289">
        <v>19.863001000000001</v>
      </c>
    </row>
    <row r="64" spans="1:11" ht="15" customHeight="1" outlineLevel="2" x14ac:dyDescent="0.2">
      <c r="A64" s="297" t="s">
        <v>291</v>
      </c>
      <c r="B64" s="289">
        <v>2.74</v>
      </c>
      <c r="C64" s="301">
        <v>0</v>
      </c>
      <c r="D64" s="301">
        <v>0</v>
      </c>
      <c r="E64" s="301">
        <v>0</v>
      </c>
      <c r="F64" s="289">
        <v>1.89</v>
      </c>
      <c r="G64" s="289">
        <v>1.0680000000000001</v>
      </c>
      <c r="H64" s="289">
        <v>4.008</v>
      </c>
      <c r="I64" s="289">
        <v>11.925000000000001</v>
      </c>
      <c r="J64" s="289">
        <v>11.739000000000001</v>
      </c>
      <c r="K64" s="289">
        <v>1.704</v>
      </c>
    </row>
    <row r="65" spans="1:11" ht="15" customHeight="1" outlineLevel="2" x14ac:dyDescent="0.2">
      <c r="A65" s="295" t="s">
        <v>312</v>
      </c>
      <c r="B65" s="296">
        <v>0</v>
      </c>
      <c r="C65" s="296">
        <v>0</v>
      </c>
      <c r="D65" s="296">
        <v>0</v>
      </c>
      <c r="E65" s="296">
        <v>0</v>
      </c>
      <c r="F65" s="296">
        <v>0</v>
      </c>
      <c r="G65" s="296">
        <v>0</v>
      </c>
      <c r="H65" s="296">
        <v>0</v>
      </c>
      <c r="I65" s="296">
        <v>0</v>
      </c>
      <c r="J65" s="296">
        <v>0</v>
      </c>
      <c r="K65" s="296">
        <v>0</v>
      </c>
    </row>
    <row r="66" spans="1:11" ht="15" customHeight="1" outlineLevel="2" x14ac:dyDescent="0.2">
      <c r="A66" s="297" t="s">
        <v>313</v>
      </c>
      <c r="B66" s="301">
        <v>0</v>
      </c>
      <c r="C66" s="301">
        <v>0</v>
      </c>
      <c r="D66" s="301">
        <v>0</v>
      </c>
      <c r="E66" s="301">
        <v>0</v>
      </c>
      <c r="F66" s="301">
        <v>0</v>
      </c>
      <c r="G66" s="301">
        <v>0</v>
      </c>
      <c r="H66" s="289">
        <v>9.75</v>
      </c>
      <c r="I66" s="289">
        <v>23.75</v>
      </c>
      <c r="J66" s="289">
        <v>15</v>
      </c>
      <c r="K66" s="289">
        <v>0</v>
      </c>
    </row>
    <row r="67" spans="1:11" ht="15" customHeight="1" outlineLevel="2" x14ac:dyDescent="0.2">
      <c r="A67" s="295" t="s">
        <v>314</v>
      </c>
      <c r="B67" s="289">
        <v>126.931999</v>
      </c>
      <c r="C67" s="289">
        <v>125.886002</v>
      </c>
      <c r="D67" s="289">
        <v>129.429001</v>
      </c>
      <c r="E67" s="289">
        <v>138.86300700000001</v>
      </c>
      <c r="F67" s="289">
        <v>237.83500699999999</v>
      </c>
      <c r="G67" s="289">
        <v>250.14999399999999</v>
      </c>
      <c r="H67" s="289">
        <v>163.695007</v>
      </c>
      <c r="I67" s="289">
        <v>156.51100199999999</v>
      </c>
      <c r="J67" s="289">
        <v>45.504002</v>
      </c>
      <c r="K67" s="289">
        <v>211.68699599999999</v>
      </c>
    </row>
    <row r="68" spans="1:11" ht="15" customHeight="1" outlineLevel="2" x14ac:dyDescent="0.2">
      <c r="A68" s="295" t="s">
        <v>566</v>
      </c>
      <c r="B68" s="289">
        <f>B66+B65+B64+B56+B54+B57+B55</f>
        <v>14.191000000000001</v>
      </c>
      <c r="C68" s="289">
        <f t="shared" ref="C68:K68" si="1">C66+C65+C64+C56+C54+C57+C55</f>
        <v>17.901001000000001</v>
      </c>
      <c r="D68" s="289">
        <f t="shared" si="1"/>
        <v>19.556000000000001</v>
      </c>
      <c r="E68" s="289">
        <f t="shared" si="1"/>
        <v>29.996000000000002</v>
      </c>
      <c r="F68" s="289">
        <f t="shared" si="1"/>
        <v>35.997001000000004</v>
      </c>
      <c r="G68" s="289">
        <f t="shared" si="1"/>
        <v>23.282001000000001</v>
      </c>
      <c r="H68" s="289">
        <f t="shared" si="1"/>
        <v>41.863000999999997</v>
      </c>
      <c r="I68" s="289">
        <f t="shared" si="1"/>
        <v>80.546999999999997</v>
      </c>
      <c r="J68" s="289">
        <f t="shared" si="1"/>
        <v>83.762000999999998</v>
      </c>
      <c r="K68" s="289">
        <f t="shared" si="1"/>
        <v>52.038001000000001</v>
      </c>
    </row>
    <row r="69" spans="1:11" ht="15" customHeight="1" outlineLevel="1" x14ac:dyDescent="0.2">
      <c r="A69" s="267" t="s">
        <v>316</v>
      </c>
      <c r="B69" s="301" t="s">
        <v>262</v>
      </c>
      <c r="C69" s="301" t="s">
        <v>262</v>
      </c>
      <c r="D69" s="301" t="s">
        <v>262</v>
      </c>
      <c r="E69" s="301" t="s">
        <v>262</v>
      </c>
      <c r="F69" s="301" t="s">
        <v>262</v>
      </c>
      <c r="G69" s="301" t="s">
        <v>262</v>
      </c>
      <c r="H69" s="301" t="s">
        <v>262</v>
      </c>
      <c r="I69" s="289">
        <v>0</v>
      </c>
      <c r="J69" s="289">
        <v>89.955001999999993</v>
      </c>
      <c r="K69" s="289">
        <v>93.553000999999995</v>
      </c>
    </row>
    <row r="70" spans="1:11" ht="15" customHeight="1" outlineLevel="1" x14ac:dyDescent="0.2">
      <c r="A70" s="307" t="s">
        <v>322</v>
      </c>
      <c r="B70" s="289">
        <v>160.520996</v>
      </c>
      <c r="C70" s="289">
        <v>182.58500699999999</v>
      </c>
      <c r="D70" s="289">
        <v>237.72200000000001</v>
      </c>
      <c r="E70" s="289">
        <v>243.746002</v>
      </c>
      <c r="F70" s="289">
        <v>193.97500600000001</v>
      </c>
      <c r="G70" s="289">
        <v>181.44099399999999</v>
      </c>
      <c r="H70" s="289">
        <v>185.54299900000001</v>
      </c>
      <c r="I70" s="289">
        <v>201.13600199999999</v>
      </c>
      <c r="J70" s="289">
        <v>324.50299100000001</v>
      </c>
      <c r="K70" s="289">
        <v>161.253998</v>
      </c>
    </row>
    <row r="71" spans="1:11" ht="15" customHeight="1" outlineLevel="2" x14ac:dyDescent="0.2">
      <c r="A71" s="297" t="s">
        <v>323</v>
      </c>
      <c r="B71" s="289">
        <v>0</v>
      </c>
      <c r="C71" s="289">
        <v>0</v>
      </c>
      <c r="D71" s="289">
        <v>0</v>
      </c>
      <c r="E71" s="289">
        <v>0</v>
      </c>
      <c r="F71" s="289">
        <v>0</v>
      </c>
      <c r="G71" s="289">
        <v>0</v>
      </c>
      <c r="H71" s="289">
        <v>0</v>
      </c>
      <c r="I71" s="301" t="s">
        <v>262</v>
      </c>
      <c r="J71" s="301" t="s">
        <v>262</v>
      </c>
      <c r="K71" s="301" t="s">
        <v>262</v>
      </c>
    </row>
    <row r="72" spans="1:11" ht="15" customHeight="1" outlineLevel="2" x14ac:dyDescent="0.2">
      <c r="A72" s="295" t="s">
        <v>324</v>
      </c>
      <c r="B72" s="289">
        <v>0</v>
      </c>
      <c r="C72" s="289">
        <v>0</v>
      </c>
      <c r="D72" s="289">
        <v>0</v>
      </c>
      <c r="E72" s="289">
        <v>0</v>
      </c>
      <c r="F72" s="289">
        <v>0</v>
      </c>
      <c r="G72" s="289">
        <v>0</v>
      </c>
      <c r="H72" s="289">
        <v>0</v>
      </c>
      <c r="I72" s="296" t="s">
        <v>262</v>
      </c>
      <c r="J72" s="296" t="s">
        <v>262</v>
      </c>
      <c r="K72" s="296" t="s">
        <v>262</v>
      </c>
    </row>
    <row r="73" spans="1:11" ht="15" customHeight="1" outlineLevel="2" x14ac:dyDescent="0.2">
      <c r="A73" s="297" t="s">
        <v>325</v>
      </c>
      <c r="B73" s="289">
        <v>0</v>
      </c>
      <c r="C73" s="289">
        <v>0</v>
      </c>
      <c r="D73" s="289">
        <v>0</v>
      </c>
      <c r="E73" s="289">
        <v>0</v>
      </c>
      <c r="F73" s="289">
        <v>0</v>
      </c>
      <c r="G73" s="289">
        <v>0</v>
      </c>
      <c r="H73" s="289">
        <v>0</v>
      </c>
      <c r="I73" s="301" t="s">
        <v>262</v>
      </c>
      <c r="J73" s="301" t="s">
        <v>262</v>
      </c>
      <c r="K73" s="301" t="s">
        <v>262</v>
      </c>
    </row>
    <row r="74" spans="1:11" ht="15" customHeight="1" outlineLevel="2" x14ac:dyDescent="0.2">
      <c r="A74" s="295" t="s">
        <v>326</v>
      </c>
      <c r="B74" s="289">
        <v>0</v>
      </c>
      <c r="C74" s="289">
        <v>0</v>
      </c>
      <c r="D74" s="289">
        <v>0</v>
      </c>
      <c r="E74" s="289">
        <v>0</v>
      </c>
      <c r="F74" s="289">
        <v>0</v>
      </c>
      <c r="G74" s="289">
        <v>0</v>
      </c>
      <c r="H74" s="289">
        <v>0</v>
      </c>
      <c r="I74" s="289">
        <v>0</v>
      </c>
      <c r="J74" s="289">
        <v>0</v>
      </c>
      <c r="K74" s="289">
        <v>0</v>
      </c>
    </row>
    <row r="75" spans="1:11" ht="15" customHeight="1" outlineLevel="2" x14ac:dyDescent="0.2">
      <c r="A75" s="297" t="s">
        <v>327</v>
      </c>
      <c r="B75" s="289">
        <v>48.966000000000001</v>
      </c>
      <c r="C75" s="289">
        <v>20.465</v>
      </c>
      <c r="D75" s="289">
        <v>23.879000000000001</v>
      </c>
      <c r="E75" s="289">
        <v>8.1389999999999993</v>
      </c>
      <c r="F75" s="289">
        <v>0</v>
      </c>
      <c r="G75" s="289">
        <v>0</v>
      </c>
      <c r="H75" s="289">
        <v>0</v>
      </c>
      <c r="I75" s="289">
        <v>0</v>
      </c>
      <c r="J75" s="289">
        <v>76.077003000000005</v>
      </c>
      <c r="K75" s="289">
        <v>0</v>
      </c>
    </row>
    <row r="76" spans="1:11" ht="15" customHeight="1" outlineLevel="2" x14ac:dyDescent="0.2">
      <c r="A76" s="295" t="s">
        <v>328</v>
      </c>
      <c r="B76" s="289">
        <v>110.441002</v>
      </c>
      <c r="C76" s="289">
        <v>161.45399499999999</v>
      </c>
      <c r="D76" s="289">
        <v>215.63400300000001</v>
      </c>
      <c r="E76" s="289">
        <v>232.96400499999999</v>
      </c>
      <c r="F76" s="289">
        <v>189.408997</v>
      </c>
      <c r="G76" s="289">
        <v>182.89399700000001</v>
      </c>
      <c r="H76" s="289">
        <v>183.365005</v>
      </c>
      <c r="I76" s="289">
        <v>199.591995</v>
      </c>
      <c r="J76" s="289">
        <v>246.78999300000001</v>
      </c>
      <c r="K76" s="289">
        <v>172.48199500000001</v>
      </c>
    </row>
    <row r="77" spans="1:11" ht="15" customHeight="1" outlineLevel="2" x14ac:dyDescent="0.2">
      <c r="A77" s="297" t="s">
        <v>329</v>
      </c>
      <c r="B77" s="289">
        <v>1.1140000000000001</v>
      </c>
      <c r="C77" s="289">
        <v>0.66600000000000004</v>
      </c>
      <c r="D77" s="289">
        <v>-1.7909999999999999</v>
      </c>
      <c r="E77" s="289">
        <v>2.6429999999999998</v>
      </c>
      <c r="F77" s="289">
        <v>4.5659999999999998</v>
      </c>
      <c r="G77" s="289">
        <v>-1.4530000000000001</v>
      </c>
      <c r="H77" s="289">
        <v>2.1779999999999999</v>
      </c>
      <c r="I77" s="289">
        <v>1.544</v>
      </c>
      <c r="J77" s="289">
        <v>0.498</v>
      </c>
      <c r="K77" s="289">
        <v>-9.8859999999999992</v>
      </c>
    </row>
    <row r="78" spans="1:11" ht="15" customHeight="1" outlineLevel="2" x14ac:dyDescent="0.2">
      <c r="A78" s="295" t="s">
        <v>330</v>
      </c>
      <c r="B78" s="289">
        <v>160.520996</v>
      </c>
      <c r="C78" s="289">
        <v>182.58500699999999</v>
      </c>
      <c r="D78" s="289">
        <v>237.72200000000001</v>
      </c>
      <c r="E78" s="289">
        <v>243.746002</v>
      </c>
      <c r="F78" s="289">
        <v>193.97500600000001</v>
      </c>
      <c r="G78" s="289">
        <v>181.44099399999999</v>
      </c>
      <c r="H78" s="289">
        <v>185.54299900000001</v>
      </c>
      <c r="I78" s="289">
        <v>201.13600199999999</v>
      </c>
      <c r="J78" s="289">
        <v>323.36498999999998</v>
      </c>
      <c r="K78" s="289">
        <v>162.59599299999999</v>
      </c>
    </row>
    <row r="79" spans="1:11" ht="15" customHeight="1" outlineLevel="2" x14ac:dyDescent="0.2">
      <c r="A79" s="297" t="s">
        <v>331</v>
      </c>
      <c r="B79" s="301" t="s">
        <v>262</v>
      </c>
      <c r="C79" s="301" t="s">
        <v>262</v>
      </c>
      <c r="D79" s="301" t="s">
        <v>262</v>
      </c>
      <c r="E79" s="301" t="s">
        <v>262</v>
      </c>
      <c r="F79" s="301" t="s">
        <v>262</v>
      </c>
      <c r="G79" s="301" t="s">
        <v>262</v>
      </c>
      <c r="H79" s="301" t="s">
        <v>262</v>
      </c>
      <c r="I79" s="289">
        <v>0</v>
      </c>
      <c r="J79" s="289">
        <v>1.1379999999999999</v>
      </c>
      <c r="K79" s="289">
        <v>-1.3420000000000001</v>
      </c>
    </row>
    <row r="80" spans="1:11" ht="15" customHeight="1" x14ac:dyDescent="0.2">
      <c r="A80" s="311" t="s">
        <v>558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9F864A-B683-4C95-9DE6-A705BBA8C622}">
  <dimension ref="A2:AE280"/>
  <sheetViews>
    <sheetView zoomScaleNormal="100" workbookViewId="0"/>
  </sheetViews>
  <sheetFormatPr defaultColWidth="9" defaultRowHeight="16.5" x14ac:dyDescent="0.3"/>
  <cols>
    <col min="1" max="1" width="56.140625" bestFit="1" customWidth="1"/>
    <col min="2" max="3" width="12" bestFit="1" customWidth="1"/>
    <col min="5" max="6" width="10" bestFit="1" customWidth="1"/>
    <col min="8" max="8" width="12.85546875" bestFit="1" customWidth="1"/>
    <col min="9" max="9" width="13.5703125" bestFit="1" customWidth="1"/>
  </cols>
  <sheetData>
    <row r="2" spans="1:31" x14ac:dyDescent="0.3">
      <c r="A2" t="s">
        <v>202</v>
      </c>
    </row>
    <row r="3" spans="1:31" x14ac:dyDescent="0.3">
      <c r="A3" t="s">
        <v>61</v>
      </c>
      <c r="B3" s="211" t="s">
        <v>203</v>
      </c>
      <c r="C3" s="211" t="s">
        <v>204</v>
      </c>
      <c r="D3" s="211" t="s">
        <v>205</v>
      </c>
      <c r="E3" s="211" t="s">
        <v>206</v>
      </c>
      <c r="F3" s="211" t="s">
        <v>207</v>
      </c>
      <c r="G3" s="211" t="s">
        <v>208</v>
      </c>
      <c r="H3" s="211" t="s">
        <v>209</v>
      </c>
      <c r="I3" s="211" t="s">
        <v>210</v>
      </c>
      <c r="J3" s="211" t="s">
        <v>211</v>
      </c>
      <c r="K3" s="211" t="s">
        <v>212</v>
      </c>
      <c r="L3" s="211" t="s">
        <v>213</v>
      </c>
      <c r="M3" s="247">
        <v>45261</v>
      </c>
      <c r="N3" s="247">
        <v>45627</v>
      </c>
      <c r="O3" s="247">
        <v>45992</v>
      </c>
      <c r="P3" s="247">
        <v>46357</v>
      </c>
      <c r="Q3" s="247">
        <v>46722</v>
      </c>
      <c r="R3" s="211"/>
      <c r="S3" s="211"/>
      <c r="T3" s="211"/>
      <c r="U3" s="211"/>
      <c r="V3" s="211"/>
      <c r="W3" s="244"/>
      <c r="X3" s="244"/>
      <c r="Y3" s="244"/>
      <c r="Z3" s="244" t="s">
        <v>214</v>
      </c>
      <c r="AA3" s="244" t="s">
        <v>215</v>
      </c>
      <c r="AB3" s="244" t="s">
        <v>216</v>
      </c>
      <c r="AD3" s="244"/>
      <c r="AE3" s="245"/>
    </row>
    <row r="4" spans="1:31" x14ac:dyDescent="0.3">
      <c r="B4" s="211"/>
      <c r="C4" s="211"/>
      <c r="D4" s="211"/>
      <c r="E4" s="211"/>
      <c r="F4" s="211"/>
      <c r="G4" s="211"/>
      <c r="H4" s="211"/>
      <c r="I4" s="211"/>
      <c r="J4" s="211"/>
      <c r="K4" s="211"/>
      <c r="L4" s="211"/>
      <c r="M4" s="244"/>
      <c r="N4" s="244"/>
      <c r="O4" s="244"/>
      <c r="P4" s="244"/>
      <c r="Q4" s="244"/>
      <c r="R4" s="211"/>
      <c r="S4" s="211"/>
      <c r="T4" s="211"/>
      <c r="U4" s="211"/>
      <c r="V4" s="211"/>
      <c r="W4" s="244"/>
      <c r="X4" s="244"/>
      <c r="Y4" s="244"/>
      <c r="Z4" s="244"/>
      <c r="AA4" s="244"/>
      <c r="AB4" s="244"/>
      <c r="AD4" s="244"/>
      <c r="AE4" s="245"/>
    </row>
    <row r="5" spans="1:31" s="246" customFormat="1" x14ac:dyDescent="0.3">
      <c r="A5" s="246" t="s">
        <v>80</v>
      </c>
      <c r="B5" s="246">
        <v>234</v>
      </c>
      <c r="C5" s="246">
        <v>337</v>
      </c>
      <c r="D5" s="246">
        <v>365</v>
      </c>
      <c r="E5" s="246">
        <v>423.12</v>
      </c>
      <c r="F5" s="246">
        <v>378.678</v>
      </c>
      <c r="G5" s="246">
        <v>358.25300000000004</v>
      </c>
      <c r="H5" s="246">
        <v>343.065</v>
      </c>
      <c r="I5" s="246">
        <v>342.07900000000001</v>
      </c>
      <c r="J5" s="246">
        <v>415.91800000000001</v>
      </c>
      <c r="K5" s="246">
        <v>577.04399999999998</v>
      </c>
      <c r="L5" s="246">
        <v>724.71600000000001</v>
      </c>
      <c r="M5" s="246">
        <v>1014.6024</v>
      </c>
      <c r="N5" s="246">
        <v>1258.106976</v>
      </c>
      <c r="O5" s="246">
        <v>1547.4715804800001</v>
      </c>
      <c r="P5" s="246">
        <v>1887.9153281855999</v>
      </c>
      <c r="Q5" s="246">
        <v>2284.377547104576</v>
      </c>
    </row>
    <row r="6" spans="1:31" s="246" customFormat="1" x14ac:dyDescent="0.3">
      <c r="A6" s="246" t="s">
        <v>83</v>
      </c>
      <c r="B6" s="246">
        <v>157.6</v>
      </c>
      <c r="C6" s="246">
        <v>234.2</v>
      </c>
      <c r="D6" s="246">
        <v>252.1</v>
      </c>
      <c r="E6" s="246">
        <v>282.5</v>
      </c>
      <c r="F6" s="246">
        <v>243.6</v>
      </c>
      <c r="G6" s="246">
        <v>224.6</v>
      </c>
      <c r="H6" s="246">
        <v>213.4</v>
      </c>
      <c r="I6" s="246">
        <v>216.3</v>
      </c>
      <c r="J6" s="246">
        <v>262.5</v>
      </c>
      <c r="K6" s="246">
        <v>377.3</v>
      </c>
      <c r="L6" s="246">
        <v>463.6</v>
      </c>
      <c r="M6" s="246">
        <v>649.34553600000004</v>
      </c>
      <c r="N6" s="246">
        <v>817.76953440000011</v>
      </c>
      <c r="O6" s="246">
        <v>1005.856527312</v>
      </c>
      <c r="P6" s="246">
        <v>1227.14496332064</v>
      </c>
      <c r="Q6" s="246">
        <v>1484.8454056179744</v>
      </c>
    </row>
    <row r="7" spans="1:31" s="251" customFormat="1" x14ac:dyDescent="0.3">
      <c r="A7" s="251" t="s">
        <v>217</v>
      </c>
      <c r="B7" s="251">
        <f>1-(B6/B5)</f>
        <v>0.32649572649572656</v>
      </c>
      <c r="C7" s="251">
        <f t="shared" ref="C7:Q7" si="0">1-(C6/C5)</f>
        <v>0.30504451038575675</v>
      </c>
      <c r="D7" s="251">
        <f t="shared" si="0"/>
        <v>0.30931506849315071</v>
      </c>
      <c r="E7" s="251">
        <f t="shared" si="0"/>
        <v>0.33234070712800157</v>
      </c>
      <c r="F7" s="251">
        <f t="shared" si="0"/>
        <v>0.35670939426108728</v>
      </c>
      <c r="G7" s="251">
        <f t="shared" si="0"/>
        <v>0.37306875308790166</v>
      </c>
      <c r="H7" s="251">
        <f t="shared" si="0"/>
        <v>0.37796044481366498</v>
      </c>
      <c r="I7" s="251">
        <f t="shared" si="0"/>
        <v>0.3676899195799801</v>
      </c>
      <c r="J7" s="251">
        <f t="shared" si="0"/>
        <v>0.36886597838997115</v>
      </c>
      <c r="K7" s="251">
        <f t="shared" si="0"/>
        <v>0.34615038021364053</v>
      </c>
      <c r="L7" s="251">
        <f t="shared" si="0"/>
        <v>0.36030113865293434</v>
      </c>
      <c r="M7" s="251">
        <f t="shared" si="0"/>
        <v>0.36</v>
      </c>
      <c r="N7" s="251">
        <f t="shared" si="0"/>
        <v>0.35</v>
      </c>
      <c r="O7" s="251">
        <f t="shared" si="0"/>
        <v>0.35</v>
      </c>
      <c r="P7" s="251">
        <f t="shared" si="0"/>
        <v>0.35</v>
      </c>
      <c r="Q7" s="251">
        <f t="shared" si="0"/>
        <v>0.35</v>
      </c>
    </row>
    <row r="9" spans="1:31" x14ac:dyDescent="0.3">
      <c r="A9" t="s">
        <v>218</v>
      </c>
      <c r="B9" s="246">
        <v>28845</v>
      </c>
    </row>
    <row r="10" spans="1:31" x14ac:dyDescent="0.3">
      <c r="A10" t="s">
        <v>219</v>
      </c>
      <c r="B10" s="246">
        <v>30479</v>
      </c>
    </row>
    <row r="11" spans="1:31" x14ac:dyDescent="0.3">
      <c r="A11" t="s">
        <v>220</v>
      </c>
    </row>
    <row r="13" spans="1:31" x14ac:dyDescent="0.3">
      <c r="A13" t="s">
        <v>221</v>
      </c>
    </row>
    <row r="15" spans="1:31" x14ac:dyDescent="0.3">
      <c r="A15" t="s">
        <v>222</v>
      </c>
    </row>
    <row r="16" spans="1:31" x14ac:dyDescent="0.3">
      <c r="A16" t="s">
        <v>223</v>
      </c>
      <c r="B16">
        <v>87.84</v>
      </c>
      <c r="C16">
        <v>93</v>
      </c>
      <c r="D16">
        <v>94.23</v>
      </c>
      <c r="E16">
        <v>102.22</v>
      </c>
      <c r="F16">
        <v>125.76</v>
      </c>
      <c r="G16">
        <v>124.92</v>
      </c>
      <c r="H16">
        <v>106.97</v>
      </c>
      <c r="I16">
        <v>105.92</v>
      </c>
      <c r="J16">
        <v>109.56</v>
      </c>
      <c r="K16">
        <v>115.56</v>
      </c>
    </row>
    <row r="17" spans="1:11" x14ac:dyDescent="0.3">
      <c r="A17" t="s">
        <v>224</v>
      </c>
      <c r="B17">
        <v>-45.75</v>
      </c>
      <c r="C17">
        <v>-55.92</v>
      </c>
      <c r="D17">
        <v>-62.66</v>
      </c>
      <c r="E17">
        <v>-63.19</v>
      </c>
      <c r="F17">
        <v>-72.7</v>
      </c>
      <c r="G17">
        <v>-86.83</v>
      </c>
      <c r="H17">
        <v>-139.79</v>
      </c>
      <c r="I17">
        <v>-72.14</v>
      </c>
      <c r="J17">
        <v>-60.56</v>
      </c>
      <c r="K17">
        <v>-61.89</v>
      </c>
    </row>
    <row r="18" spans="1:11" x14ac:dyDescent="0.3">
      <c r="A18" t="s">
        <v>225</v>
      </c>
      <c r="B18" s="251">
        <f>B17/-B16</f>
        <v>0.52083333333333326</v>
      </c>
      <c r="C18" s="251">
        <f t="shared" ref="C18:K18" si="1">C17/-C16</f>
        <v>0.60129032258064519</v>
      </c>
      <c r="D18" s="251">
        <f t="shared" si="1"/>
        <v>0.66496869362198874</v>
      </c>
      <c r="E18" s="251">
        <f t="shared" si="1"/>
        <v>0.61817648209743692</v>
      </c>
      <c r="F18" s="251">
        <f t="shared" si="1"/>
        <v>0.57808524173027986</v>
      </c>
      <c r="G18" s="251">
        <f t="shared" si="1"/>
        <v>0.69508485430675626</v>
      </c>
      <c r="H18" s="251">
        <f t="shared" si="1"/>
        <v>1.3068149948583714</v>
      </c>
      <c r="I18" s="251">
        <f t="shared" si="1"/>
        <v>0.68108006042296076</v>
      </c>
      <c r="J18" s="251">
        <f t="shared" si="1"/>
        <v>0.55275648046732384</v>
      </c>
      <c r="K18" s="251">
        <f t="shared" si="1"/>
        <v>0.53556593977154721</v>
      </c>
    </row>
    <row r="26" spans="1:11" x14ac:dyDescent="0.3">
      <c r="B26" s="250">
        <v>45108</v>
      </c>
      <c r="C26" s="250"/>
    </row>
    <row r="27" spans="1:11" x14ac:dyDescent="0.3">
      <c r="A27" t="s">
        <v>226</v>
      </c>
      <c r="B27">
        <v>179</v>
      </c>
      <c r="C27">
        <v>199</v>
      </c>
      <c r="D27">
        <v>184</v>
      </c>
      <c r="E27">
        <v>181</v>
      </c>
      <c r="F27">
        <v>186</v>
      </c>
    </row>
    <row r="28" spans="1:11" x14ac:dyDescent="0.3">
      <c r="A28" t="s">
        <v>227</v>
      </c>
      <c r="B28">
        <v>66</v>
      </c>
      <c r="C28">
        <v>70</v>
      </c>
      <c r="D28">
        <v>77</v>
      </c>
      <c r="E28">
        <v>74</v>
      </c>
      <c r="F28">
        <v>56</v>
      </c>
    </row>
    <row r="29" spans="1:11" x14ac:dyDescent="0.3">
      <c r="A29" t="s">
        <v>217</v>
      </c>
      <c r="B29">
        <f>B28/B27</f>
        <v>0.36871508379888268</v>
      </c>
      <c r="C29">
        <f t="shared" ref="C29:F29" si="2">C28/C27</f>
        <v>0.35175879396984927</v>
      </c>
      <c r="D29">
        <f t="shared" si="2"/>
        <v>0.41847826086956524</v>
      </c>
      <c r="E29">
        <f t="shared" si="2"/>
        <v>0.40883977900552487</v>
      </c>
      <c r="F29">
        <f t="shared" si="2"/>
        <v>0.30107526881720431</v>
      </c>
    </row>
    <row r="31" spans="1:11" x14ac:dyDescent="0.3">
      <c r="B31" s="249" t="s">
        <v>228</v>
      </c>
      <c r="E31" s="249" t="s">
        <v>229</v>
      </c>
    </row>
    <row r="32" spans="1:11" x14ac:dyDescent="0.3">
      <c r="B32" s="250">
        <v>45108</v>
      </c>
      <c r="C32" s="250">
        <v>44743</v>
      </c>
      <c r="D32" s="250"/>
      <c r="E32" s="250">
        <v>45108</v>
      </c>
      <c r="F32" s="250">
        <v>44743</v>
      </c>
    </row>
    <row r="33" spans="1:6" x14ac:dyDescent="0.3">
      <c r="B33" s="250"/>
      <c r="C33" s="250"/>
      <c r="D33" s="250"/>
      <c r="E33" s="250"/>
    </row>
    <row r="34" spans="1:6" x14ac:dyDescent="0.3">
      <c r="A34" t="s">
        <v>230</v>
      </c>
      <c r="B34" s="246">
        <v>101790</v>
      </c>
      <c r="C34" s="246">
        <v>115636</v>
      </c>
      <c r="D34" s="246"/>
      <c r="E34" s="246">
        <v>85071</v>
      </c>
      <c r="F34" s="246">
        <v>67443</v>
      </c>
    </row>
    <row r="35" spans="1:6" x14ac:dyDescent="0.3">
      <c r="A35" s="248" t="s">
        <v>231</v>
      </c>
      <c r="B35" s="251">
        <f>(B34-C34)/C34</f>
        <v>-0.11973779791760351</v>
      </c>
      <c r="C35" s="251"/>
      <c r="D35" s="246"/>
      <c r="E35" s="251">
        <f>(E34-F34)/F34</f>
        <v>0.26137627329745117</v>
      </c>
      <c r="F35" s="246"/>
    </row>
    <row r="36" spans="1:6" x14ac:dyDescent="0.3">
      <c r="A36" s="252" t="s">
        <v>232</v>
      </c>
      <c r="B36" s="246">
        <v>-40453</v>
      </c>
      <c r="C36" s="246">
        <v>-36979</v>
      </c>
      <c r="D36" s="246"/>
      <c r="E36" s="246">
        <v>-30848</v>
      </c>
      <c r="F36" s="246">
        <v>-20629</v>
      </c>
    </row>
    <row r="37" spans="1:6" x14ac:dyDescent="0.3">
      <c r="A37" s="248" t="s">
        <v>233</v>
      </c>
      <c r="B37" s="251">
        <f>B36/-B34</f>
        <v>0.39741624914038709</v>
      </c>
      <c r="C37" s="251">
        <f t="shared" ref="C37" si="3">C36/-C34</f>
        <v>0.31978795530803555</v>
      </c>
      <c r="D37" s="246"/>
      <c r="E37" s="251">
        <f t="shared" ref="E37:F37" si="4">E36/-E34</f>
        <v>0.3626147570852582</v>
      </c>
      <c r="F37" s="251">
        <f t="shared" si="4"/>
        <v>0.30587310766128434</v>
      </c>
    </row>
    <row r="38" spans="1:6" x14ac:dyDescent="0.3">
      <c r="A38" t="s">
        <v>234</v>
      </c>
      <c r="B38" s="246">
        <f>B34+B36</f>
        <v>61337</v>
      </c>
      <c r="C38" s="246">
        <f t="shared" ref="C38" si="5">C34+C36</f>
        <v>78657</v>
      </c>
      <c r="D38" s="246"/>
      <c r="E38" s="246">
        <f t="shared" ref="E38" si="6">E34+E36</f>
        <v>54223</v>
      </c>
      <c r="F38" s="246">
        <f t="shared" ref="F38" si="7">F34+F36</f>
        <v>46814</v>
      </c>
    </row>
    <row r="39" spans="1:6" x14ac:dyDescent="0.3">
      <c r="A39" t="s">
        <v>235</v>
      </c>
      <c r="B39" s="246">
        <v>4393</v>
      </c>
      <c r="C39" s="246">
        <v>-1446</v>
      </c>
      <c r="D39" s="246"/>
      <c r="E39" s="246">
        <v>3602</v>
      </c>
      <c r="F39" s="246">
        <v>283</v>
      </c>
    </row>
    <row r="40" spans="1:6" x14ac:dyDescent="0.3">
      <c r="A40" s="248" t="s">
        <v>221</v>
      </c>
      <c r="B40" s="251">
        <f>B39/B38</f>
        <v>7.1620718326621771E-2</v>
      </c>
      <c r="C40" s="251">
        <f>C39/C38</f>
        <v>-1.8383614935733629E-2</v>
      </c>
      <c r="D40" s="246"/>
      <c r="E40" s="251">
        <f t="shared" ref="E40:F40" si="8">E39/E38</f>
        <v>6.6429374988473525E-2</v>
      </c>
      <c r="F40" s="251">
        <f t="shared" si="8"/>
        <v>6.0452001538001451E-3</v>
      </c>
    </row>
    <row r="41" spans="1:6" x14ac:dyDescent="0.3">
      <c r="A41" t="s">
        <v>236</v>
      </c>
      <c r="B41" s="246">
        <f>551+3717</f>
        <v>4268</v>
      </c>
      <c r="C41" s="246">
        <f>628+414</f>
        <v>1042</v>
      </c>
      <c r="D41" s="246"/>
      <c r="E41" s="246">
        <f>918+1190</f>
        <v>2108</v>
      </c>
      <c r="F41" s="246">
        <f>424+532</f>
        <v>956</v>
      </c>
    </row>
    <row r="42" spans="1:6" x14ac:dyDescent="0.3">
      <c r="A42" t="s">
        <v>237</v>
      </c>
      <c r="B42" s="246">
        <f>B41+B39+B38</f>
        <v>69998</v>
      </c>
      <c r="C42" s="246">
        <f>C41+C39+C38</f>
        <v>78253</v>
      </c>
      <c r="D42" s="246"/>
      <c r="E42" s="246">
        <f>E41+E39+E38</f>
        <v>59933</v>
      </c>
      <c r="F42" s="246">
        <f>F41+F39+F38</f>
        <v>48053</v>
      </c>
    </row>
    <row r="43" spans="1:6" x14ac:dyDescent="0.3">
      <c r="B43" s="246"/>
      <c r="C43" s="246"/>
      <c r="D43" s="246"/>
      <c r="E43" s="246"/>
      <c r="F43" s="246"/>
    </row>
    <row r="44" spans="1:6" x14ac:dyDescent="0.3">
      <c r="A44" t="s">
        <v>238</v>
      </c>
      <c r="B44" s="246">
        <v>27653</v>
      </c>
      <c r="C44" s="246">
        <v>48692</v>
      </c>
      <c r="D44" s="246"/>
      <c r="E44" s="246">
        <v>34937</v>
      </c>
      <c r="F44" s="246">
        <v>38692</v>
      </c>
    </row>
    <row r="45" spans="1:6" s="249" customFormat="1" x14ac:dyDescent="0.3">
      <c r="A45" s="260" t="s">
        <v>239</v>
      </c>
      <c r="B45" s="261">
        <f>B38-B44</f>
        <v>33684</v>
      </c>
      <c r="C45" s="261">
        <f>C38-C44</f>
        <v>29965</v>
      </c>
      <c r="D45" s="261"/>
      <c r="E45" s="261">
        <f>E38-E44</f>
        <v>19286</v>
      </c>
      <c r="F45" s="261">
        <f>F38-F44</f>
        <v>8122</v>
      </c>
    </row>
    <row r="46" spans="1:6" x14ac:dyDescent="0.3">
      <c r="A46" t="s">
        <v>240</v>
      </c>
      <c r="B46" s="246">
        <v>10000</v>
      </c>
      <c r="C46" s="246">
        <v>15904</v>
      </c>
      <c r="D46" s="246"/>
      <c r="E46" s="246">
        <v>11422</v>
      </c>
      <c r="F46" s="246">
        <v>7167</v>
      </c>
    </row>
    <row r="47" spans="1:6" x14ac:dyDescent="0.3">
      <c r="A47" t="s">
        <v>241</v>
      </c>
      <c r="B47" s="246">
        <v>617</v>
      </c>
      <c r="C47" s="246">
        <v>657</v>
      </c>
      <c r="D47" s="246"/>
      <c r="E47" s="246">
        <v>597</v>
      </c>
      <c r="F47" s="246">
        <v>3135</v>
      </c>
    </row>
    <row r="48" spans="1:6" x14ac:dyDescent="0.3">
      <c r="A48" t="s">
        <v>242</v>
      </c>
      <c r="B48" s="246">
        <v>498</v>
      </c>
      <c r="C48" s="246">
        <v>1187</v>
      </c>
      <c r="D48" s="246"/>
      <c r="E48" s="246">
        <v>658</v>
      </c>
      <c r="F48" s="246">
        <v>897</v>
      </c>
    </row>
    <row r="49" spans="1:9" x14ac:dyDescent="0.3">
      <c r="A49" t="s">
        <v>243</v>
      </c>
      <c r="B49" s="246">
        <v>0</v>
      </c>
      <c r="C49" s="246">
        <v>0</v>
      </c>
      <c r="D49" s="246"/>
      <c r="E49" s="246">
        <v>430</v>
      </c>
      <c r="F49" s="246">
        <v>211</v>
      </c>
    </row>
    <row r="50" spans="1:9" x14ac:dyDescent="0.3">
      <c r="A50" t="s">
        <v>244</v>
      </c>
      <c r="B50" s="246">
        <v>141</v>
      </c>
      <c r="C50" s="246">
        <v>153</v>
      </c>
      <c r="D50" s="246"/>
      <c r="E50" s="246">
        <v>1030</v>
      </c>
      <c r="F50" s="246">
        <v>774</v>
      </c>
    </row>
    <row r="51" spans="1:9" x14ac:dyDescent="0.3">
      <c r="A51" t="s">
        <v>245</v>
      </c>
      <c r="B51" s="246">
        <v>8916</v>
      </c>
      <c r="C51" s="246">
        <v>7760</v>
      </c>
      <c r="D51" s="246"/>
      <c r="E51" s="246">
        <v>9938</v>
      </c>
      <c r="F51" s="246">
        <v>8526</v>
      </c>
    </row>
    <row r="52" spans="1:9" x14ac:dyDescent="0.3">
      <c r="B52" s="246"/>
      <c r="C52" s="246"/>
      <c r="D52" s="246"/>
      <c r="E52" s="246"/>
      <c r="F52" s="246"/>
    </row>
    <row r="53" spans="1:9" x14ac:dyDescent="0.3">
      <c r="A53" t="s">
        <v>246</v>
      </c>
      <c r="B53" s="259">
        <f>B51+B50+B49+B48+B47+B46+B44</f>
        <v>47825</v>
      </c>
      <c r="C53" s="259">
        <f>C51+C50+C49+C48+C47+C46+C44</f>
        <v>74353</v>
      </c>
      <c r="D53" s="259"/>
      <c r="E53" s="259">
        <f>E51+E50+E49+E48+E47+E46+E44</f>
        <v>59012</v>
      </c>
      <c r="F53" s="259">
        <f>F51+F50+F49+F48+F47+F46+F44</f>
        <v>59402</v>
      </c>
    </row>
    <row r="55" spans="1:9" x14ac:dyDescent="0.3">
      <c r="B55" s="259"/>
      <c r="E55" s="259">
        <f>E42-E53</f>
        <v>921</v>
      </c>
      <c r="I55">
        <f>3.64*0.05</f>
        <v>0.18200000000000002</v>
      </c>
    </row>
    <row r="56" spans="1:9" s="246" customFormat="1" x14ac:dyDescent="0.3">
      <c r="A56" s="246" t="s">
        <v>239</v>
      </c>
      <c r="B56" s="246">
        <v>33684</v>
      </c>
      <c r="C56" s="246">
        <v>29965</v>
      </c>
      <c r="E56" s="246">
        <v>19286</v>
      </c>
      <c r="F56" s="246">
        <v>8122</v>
      </c>
    </row>
    <row r="57" spans="1:9" x14ac:dyDescent="0.3">
      <c r="I57" s="270">
        <v>8.82</v>
      </c>
    </row>
    <row r="58" spans="1:9" x14ac:dyDescent="0.3">
      <c r="A58" t="s">
        <v>247</v>
      </c>
      <c r="B58" s="259">
        <f>C59+C60</f>
        <v>175711160</v>
      </c>
      <c r="I58" s="272">
        <f>I57*I55</f>
        <v>1.6052400000000002</v>
      </c>
    </row>
    <row r="59" spans="1:9" x14ac:dyDescent="0.3">
      <c r="A59" t="s">
        <v>248</v>
      </c>
      <c r="B59" s="251">
        <f>C59/B58</f>
        <v>0.5035870117754615</v>
      </c>
      <c r="C59" s="246">
        <v>88485858</v>
      </c>
    </row>
    <row r="60" spans="1:9" x14ac:dyDescent="0.3">
      <c r="A60" t="s">
        <v>249</v>
      </c>
      <c r="B60" s="251">
        <f>C60/B58</f>
        <v>0.4964129882245385</v>
      </c>
      <c r="C60" s="246">
        <v>87225302</v>
      </c>
      <c r="I60">
        <v>-68.42</v>
      </c>
    </row>
    <row r="61" spans="1:9" x14ac:dyDescent="0.3">
      <c r="I61">
        <v>13.82</v>
      </c>
    </row>
    <row r="62" spans="1:9" x14ac:dyDescent="0.3">
      <c r="I62">
        <f>I61/I60</f>
        <v>-0.20198772288804442</v>
      </c>
    </row>
    <row r="65" spans="1:11" x14ac:dyDescent="0.3">
      <c r="A65" s="246"/>
      <c r="B65" s="246" t="s">
        <v>250</v>
      </c>
      <c r="C65" s="246" t="s">
        <v>251</v>
      </c>
      <c r="D65" s="246" t="s">
        <v>252</v>
      </c>
      <c r="E65" s="246" t="s">
        <v>253</v>
      </c>
      <c r="F65" s="246" t="s">
        <v>254</v>
      </c>
      <c r="G65" s="246" t="s">
        <v>255</v>
      </c>
      <c r="H65" s="246" t="s">
        <v>256</v>
      </c>
      <c r="I65" s="246" t="s">
        <v>257</v>
      </c>
      <c r="J65" s="246" t="s">
        <v>258</v>
      </c>
      <c r="K65" s="246" t="s">
        <v>259</v>
      </c>
    </row>
    <row r="66" spans="1:11" x14ac:dyDescent="0.3">
      <c r="A66" s="246"/>
      <c r="B66" s="246"/>
      <c r="C66" s="246"/>
      <c r="D66" s="246"/>
      <c r="E66" s="246"/>
      <c r="F66" s="246"/>
      <c r="G66" s="246"/>
      <c r="H66" s="246"/>
      <c r="I66" s="246"/>
      <c r="J66" s="246"/>
      <c r="K66" s="246"/>
    </row>
    <row r="68" spans="1:11" x14ac:dyDescent="0.3">
      <c r="A68" s="246" t="s">
        <v>260</v>
      </c>
      <c r="B68" s="246">
        <v>211.42300399999999</v>
      </c>
      <c r="C68" s="246">
        <v>192.11000100000001</v>
      </c>
      <c r="D68" s="246">
        <v>196.348007</v>
      </c>
      <c r="E68" s="246">
        <v>196.71499600000001</v>
      </c>
      <c r="F68" s="246">
        <v>293.79098499999998</v>
      </c>
      <c r="G68" s="246">
        <v>534.56597899999997</v>
      </c>
      <c r="H68" s="246">
        <v>491.50799599999999</v>
      </c>
      <c r="I68" s="246">
        <v>615.59198000000004</v>
      </c>
      <c r="J68" s="246">
        <v>630.25299099999995</v>
      </c>
      <c r="K68" s="246">
        <v>549.682007</v>
      </c>
    </row>
    <row r="69" spans="1:11" x14ac:dyDescent="0.3">
      <c r="A69" s="262" t="s">
        <v>261</v>
      </c>
      <c r="B69" s="246" t="s">
        <v>262</v>
      </c>
      <c r="C69" s="246" t="s">
        <v>262</v>
      </c>
      <c r="D69" s="246" t="s">
        <v>262</v>
      </c>
      <c r="E69" s="246" t="s">
        <v>262</v>
      </c>
      <c r="F69" s="246" t="s">
        <v>262</v>
      </c>
      <c r="G69" s="246" t="s">
        <v>262</v>
      </c>
      <c r="H69" s="246" t="s">
        <v>262</v>
      </c>
      <c r="I69" s="246" t="s">
        <v>262</v>
      </c>
      <c r="J69" s="246" t="s">
        <v>262</v>
      </c>
      <c r="K69" s="246" t="s">
        <v>262</v>
      </c>
    </row>
    <row r="70" spans="1:11" x14ac:dyDescent="0.3">
      <c r="A70" s="262" t="s">
        <v>263</v>
      </c>
      <c r="B70" s="246">
        <v>60.201999999999998</v>
      </c>
      <c r="C70" s="246">
        <v>46.414000999999999</v>
      </c>
      <c r="D70" s="246">
        <v>46.053001000000002</v>
      </c>
      <c r="E70" s="246">
        <v>42.582999999999998</v>
      </c>
      <c r="F70" s="246">
        <v>150.68400600000001</v>
      </c>
      <c r="G70" s="246">
        <v>398.57101399999999</v>
      </c>
      <c r="H70" s="246">
        <v>360.63900799999999</v>
      </c>
      <c r="I70" s="246">
        <v>483.90100100000001</v>
      </c>
      <c r="J70" s="246">
        <v>524.75598100000002</v>
      </c>
      <c r="K70" s="246">
        <v>442.97399899999999</v>
      </c>
    </row>
    <row r="71" spans="1:11" x14ac:dyDescent="0.3">
      <c r="A71" s="263" t="s">
        <v>264</v>
      </c>
      <c r="B71" s="246">
        <v>49.799999</v>
      </c>
      <c r="C71" s="246">
        <v>44.923999999999999</v>
      </c>
      <c r="D71" s="246">
        <v>50.222999999999999</v>
      </c>
      <c r="E71" s="246">
        <v>51.740001999999997</v>
      </c>
      <c r="F71" s="246">
        <v>41.203999000000003</v>
      </c>
      <c r="G71" s="246">
        <v>35.719002000000003</v>
      </c>
      <c r="H71" s="246">
        <v>33.945999</v>
      </c>
      <c r="I71" s="246">
        <v>34.582999999999998</v>
      </c>
      <c r="J71" s="246">
        <v>37.415000999999997</v>
      </c>
      <c r="K71" s="246">
        <v>39.689999</v>
      </c>
    </row>
    <row r="72" spans="1:11" x14ac:dyDescent="0.3">
      <c r="A72" s="264" t="s">
        <v>265</v>
      </c>
      <c r="B72" s="246" t="s">
        <v>262</v>
      </c>
      <c r="C72" s="246" t="s">
        <v>262</v>
      </c>
      <c r="D72" s="246" t="s">
        <v>262</v>
      </c>
      <c r="E72" s="246" t="s">
        <v>262</v>
      </c>
      <c r="F72" s="246" t="s">
        <v>262</v>
      </c>
      <c r="G72" s="246" t="s">
        <v>262</v>
      </c>
      <c r="H72" s="246" t="s">
        <v>262</v>
      </c>
      <c r="I72" s="246" t="s">
        <v>262</v>
      </c>
      <c r="J72" s="246" t="s">
        <v>262</v>
      </c>
      <c r="K72" s="246" t="s">
        <v>262</v>
      </c>
    </row>
    <row r="73" spans="1:11" x14ac:dyDescent="0.3">
      <c r="A73" s="264" t="s">
        <v>266</v>
      </c>
      <c r="B73" s="246" t="s">
        <v>262</v>
      </c>
      <c r="C73" s="246" t="s">
        <v>262</v>
      </c>
      <c r="D73" s="246" t="s">
        <v>262</v>
      </c>
      <c r="E73" s="246" t="s">
        <v>262</v>
      </c>
      <c r="F73" s="246" t="s">
        <v>262</v>
      </c>
      <c r="G73" s="246" t="s">
        <v>262</v>
      </c>
      <c r="H73" s="246" t="s">
        <v>262</v>
      </c>
      <c r="I73" s="246" t="s">
        <v>262</v>
      </c>
      <c r="J73" s="246" t="s">
        <v>262</v>
      </c>
      <c r="K73" s="246" t="s">
        <v>262</v>
      </c>
    </row>
    <row r="74" spans="1:11" x14ac:dyDescent="0.3">
      <c r="A74" s="263" t="s">
        <v>267</v>
      </c>
      <c r="B74" s="246" t="s">
        <v>262</v>
      </c>
      <c r="C74" s="246" t="s">
        <v>262</v>
      </c>
      <c r="D74" s="246" t="s">
        <v>262</v>
      </c>
      <c r="E74" s="246" t="s">
        <v>262</v>
      </c>
      <c r="F74" s="246" t="s">
        <v>262</v>
      </c>
      <c r="G74" s="246" t="s">
        <v>262</v>
      </c>
      <c r="H74" s="246" t="s">
        <v>262</v>
      </c>
      <c r="I74" s="246" t="s">
        <v>262</v>
      </c>
      <c r="J74" s="246" t="s">
        <v>262</v>
      </c>
      <c r="K74" s="246" t="s">
        <v>262</v>
      </c>
    </row>
    <row r="75" spans="1:11" x14ac:dyDescent="0.3">
      <c r="A75" s="264" t="s">
        <v>268</v>
      </c>
      <c r="B75" s="246" t="s">
        <v>262</v>
      </c>
      <c r="C75" s="246" t="s">
        <v>262</v>
      </c>
      <c r="D75" s="246" t="s">
        <v>262</v>
      </c>
      <c r="E75" s="246" t="s">
        <v>262</v>
      </c>
      <c r="F75" s="246" t="s">
        <v>262</v>
      </c>
      <c r="G75" s="246" t="s">
        <v>262</v>
      </c>
      <c r="H75" s="246" t="s">
        <v>262</v>
      </c>
      <c r="I75" s="246" t="s">
        <v>262</v>
      </c>
      <c r="J75" s="246" t="s">
        <v>262</v>
      </c>
      <c r="K75" s="246" t="s">
        <v>262</v>
      </c>
    </row>
    <row r="76" spans="1:11" x14ac:dyDescent="0.3">
      <c r="A76" s="264" t="s">
        <v>269</v>
      </c>
      <c r="B76" s="246" t="s">
        <v>262</v>
      </c>
      <c r="C76" s="246" t="s">
        <v>262</v>
      </c>
      <c r="D76" s="246" t="s">
        <v>262</v>
      </c>
      <c r="E76" s="246" t="s">
        <v>262</v>
      </c>
      <c r="F76" s="246" t="s">
        <v>262</v>
      </c>
      <c r="G76" s="246" t="s">
        <v>262</v>
      </c>
      <c r="H76" s="246" t="s">
        <v>262</v>
      </c>
      <c r="I76" s="246" t="s">
        <v>262</v>
      </c>
      <c r="J76" s="246" t="s">
        <v>262</v>
      </c>
      <c r="K76" s="246" t="s">
        <v>262</v>
      </c>
    </row>
    <row r="77" spans="1:11" x14ac:dyDescent="0.3">
      <c r="A77" s="262" t="s">
        <v>270</v>
      </c>
      <c r="B77" s="246">
        <v>26.725999999999999</v>
      </c>
      <c r="C77" s="246">
        <v>26.305</v>
      </c>
      <c r="D77" s="246">
        <v>26.039000000000001</v>
      </c>
      <c r="E77" s="246">
        <v>28.132999000000002</v>
      </c>
      <c r="F77" s="246">
        <v>28.166</v>
      </c>
      <c r="G77" s="246">
        <v>26.695</v>
      </c>
      <c r="H77" s="246">
        <v>25.405000999999999</v>
      </c>
      <c r="I77" s="246">
        <v>25.702000000000002</v>
      </c>
      <c r="J77" s="246">
        <v>24.52</v>
      </c>
      <c r="K77" s="246">
        <v>23.114999999999998</v>
      </c>
    </row>
    <row r="78" spans="1:11" x14ac:dyDescent="0.3">
      <c r="A78" s="262" t="s">
        <v>271</v>
      </c>
      <c r="B78" s="246">
        <v>0.68</v>
      </c>
      <c r="C78" s="246">
        <v>0.65500000000000003</v>
      </c>
      <c r="D78" s="246">
        <v>0.37</v>
      </c>
      <c r="E78" s="246">
        <v>0.36299999999999999</v>
      </c>
      <c r="F78" s="246">
        <v>0.35</v>
      </c>
      <c r="G78" s="246">
        <v>0.85799999999999998</v>
      </c>
      <c r="H78" s="246">
        <v>1.7999999999999999E-2</v>
      </c>
      <c r="I78" s="246">
        <v>1.7999999999999999E-2</v>
      </c>
      <c r="J78" s="246">
        <v>0</v>
      </c>
      <c r="K78" s="246">
        <v>0</v>
      </c>
    </row>
    <row r="79" spans="1:11" x14ac:dyDescent="0.3">
      <c r="A79" s="262" t="s">
        <v>272</v>
      </c>
      <c r="B79" s="246" t="s">
        <v>262</v>
      </c>
      <c r="C79" s="246" t="s">
        <v>262</v>
      </c>
      <c r="D79" s="246" t="s">
        <v>262</v>
      </c>
      <c r="E79" s="246" t="s">
        <v>262</v>
      </c>
      <c r="F79" s="246" t="s">
        <v>262</v>
      </c>
      <c r="G79" s="246" t="s">
        <v>262</v>
      </c>
      <c r="H79" s="246" t="s">
        <v>262</v>
      </c>
      <c r="I79" s="246" t="s">
        <v>262</v>
      </c>
      <c r="J79" s="246" t="s">
        <v>262</v>
      </c>
      <c r="K79" s="246" t="s">
        <v>262</v>
      </c>
    </row>
    <row r="80" spans="1:11" x14ac:dyDescent="0.3">
      <c r="A80" s="262" t="s">
        <v>273</v>
      </c>
      <c r="B80" s="246">
        <v>74.014999000000003</v>
      </c>
      <c r="C80" s="246">
        <v>73.811995999999994</v>
      </c>
      <c r="D80" s="246">
        <v>73.663002000000006</v>
      </c>
      <c r="E80" s="246">
        <v>73.896004000000005</v>
      </c>
      <c r="F80" s="246">
        <v>73.387000999999998</v>
      </c>
      <c r="G80" s="246">
        <v>72.722999999999999</v>
      </c>
      <c r="H80" s="246">
        <v>71.5</v>
      </c>
      <c r="I80" s="246">
        <v>71.388000000000005</v>
      </c>
      <c r="J80" s="246">
        <v>43.561999999999998</v>
      </c>
      <c r="K80" s="246">
        <v>43.902999999999999</v>
      </c>
    </row>
    <row r="81" spans="1:11" x14ac:dyDescent="0.3">
      <c r="A81" s="246" t="s">
        <v>274</v>
      </c>
      <c r="B81" s="246">
        <v>553.396973</v>
      </c>
      <c r="C81" s="246">
        <v>626.28601100000003</v>
      </c>
      <c r="D81" s="246">
        <v>569.13397199999997</v>
      </c>
      <c r="E81" s="246">
        <v>628.942993</v>
      </c>
      <c r="F81" s="246">
        <v>569.03997800000002</v>
      </c>
      <c r="G81" s="246">
        <v>360.48800699999998</v>
      </c>
      <c r="H81" s="246">
        <v>355.699005</v>
      </c>
      <c r="I81" s="246">
        <v>234.86300700000001</v>
      </c>
      <c r="J81" s="246">
        <v>302.02499399999999</v>
      </c>
      <c r="K81" s="246">
        <v>293.99099699999999</v>
      </c>
    </row>
    <row r="82" spans="1:11" x14ac:dyDescent="0.3">
      <c r="A82" s="246" t="s">
        <v>275</v>
      </c>
      <c r="B82" s="246">
        <v>2.4</v>
      </c>
      <c r="C82" s="246">
        <v>2.4</v>
      </c>
      <c r="D82" s="246">
        <v>2.4</v>
      </c>
      <c r="E82" s="246">
        <v>2.4</v>
      </c>
      <c r="F82" s="246">
        <v>2.4</v>
      </c>
      <c r="G82" s="246">
        <v>2.6</v>
      </c>
      <c r="H82" s="246">
        <v>2.9</v>
      </c>
      <c r="I82" s="246">
        <v>2.9</v>
      </c>
      <c r="J82" s="246">
        <v>2.9870000000000001</v>
      </c>
      <c r="K82" s="246">
        <v>2.9870000000000001</v>
      </c>
    </row>
    <row r="83" spans="1:11" x14ac:dyDescent="0.3">
      <c r="A83" s="246" t="s">
        <v>276</v>
      </c>
      <c r="B83" s="246">
        <v>0.59499999999999997</v>
      </c>
      <c r="C83" s="246">
        <v>0.33</v>
      </c>
      <c r="D83" s="246">
        <v>0.46300000000000002</v>
      </c>
      <c r="E83" s="246">
        <v>0.35299999999999998</v>
      </c>
      <c r="F83" s="246">
        <v>0.67400000000000004</v>
      </c>
      <c r="G83" s="246">
        <v>1.421</v>
      </c>
      <c r="H83" s="246">
        <v>2.032</v>
      </c>
      <c r="I83" s="246">
        <v>1.952</v>
      </c>
      <c r="J83" s="246">
        <v>2.5249999999999999</v>
      </c>
      <c r="K83" s="246">
        <v>2.29</v>
      </c>
    </row>
    <row r="84" spans="1:11" x14ac:dyDescent="0.3">
      <c r="A84" s="246" t="s">
        <v>277</v>
      </c>
      <c r="B84" s="246">
        <v>0.48099999999999998</v>
      </c>
      <c r="C84" s="246">
        <v>0</v>
      </c>
      <c r="D84" s="246">
        <v>0</v>
      </c>
      <c r="E84" s="246">
        <v>4.0839999999999996</v>
      </c>
      <c r="F84" s="246">
        <v>0</v>
      </c>
      <c r="G84" s="246">
        <v>1.7889999999999999</v>
      </c>
      <c r="H84" s="246">
        <v>8.1340000000000003</v>
      </c>
      <c r="I84" s="246">
        <v>2.8069999999999999</v>
      </c>
      <c r="J84" s="246">
        <v>0.70699999999999996</v>
      </c>
      <c r="K84" s="246">
        <v>0</v>
      </c>
    </row>
    <row r="85" spans="1:11" x14ac:dyDescent="0.3">
      <c r="A85" s="246" t="s">
        <v>278</v>
      </c>
      <c r="B85" s="246">
        <v>29.459</v>
      </c>
      <c r="C85" s="246">
        <v>69.121002000000004</v>
      </c>
      <c r="D85" s="246">
        <v>43.077998999999998</v>
      </c>
      <c r="E85" s="246">
        <v>68.156998000000002</v>
      </c>
      <c r="F85" s="246">
        <v>39.889999000000003</v>
      </c>
      <c r="G85" s="246">
        <v>52.301997999999998</v>
      </c>
      <c r="H85" s="246">
        <v>51.762000999999998</v>
      </c>
      <c r="I85" s="246">
        <v>34.998001000000002</v>
      </c>
      <c r="J85" s="246">
        <v>44.966000000000001</v>
      </c>
      <c r="K85" s="246">
        <v>40.305999999999997</v>
      </c>
    </row>
    <row r="86" spans="1:11" x14ac:dyDescent="0.3">
      <c r="A86" s="262" t="s">
        <v>279</v>
      </c>
      <c r="B86" s="246" t="s">
        <v>262</v>
      </c>
      <c r="C86" s="246" t="s">
        <v>262</v>
      </c>
      <c r="D86" s="246" t="s">
        <v>262</v>
      </c>
      <c r="E86" s="246" t="s">
        <v>262</v>
      </c>
      <c r="F86" s="246" t="s">
        <v>262</v>
      </c>
      <c r="G86" s="246" t="s">
        <v>262</v>
      </c>
      <c r="H86" s="246" t="s">
        <v>262</v>
      </c>
      <c r="I86" s="246" t="s">
        <v>262</v>
      </c>
      <c r="J86" s="246" t="s">
        <v>262</v>
      </c>
      <c r="K86" s="246" t="s">
        <v>262</v>
      </c>
    </row>
    <row r="87" spans="1:11" x14ac:dyDescent="0.3">
      <c r="A87" s="263" t="s">
        <v>280</v>
      </c>
      <c r="B87" s="246" t="s">
        <v>262</v>
      </c>
      <c r="C87" s="246" t="s">
        <v>262</v>
      </c>
      <c r="D87" s="246" t="s">
        <v>262</v>
      </c>
      <c r="E87" s="246" t="s">
        <v>262</v>
      </c>
      <c r="F87" s="246" t="s">
        <v>262</v>
      </c>
      <c r="G87" s="246" t="s">
        <v>262</v>
      </c>
      <c r="H87" s="246" t="s">
        <v>262</v>
      </c>
      <c r="I87" s="246" t="s">
        <v>262</v>
      </c>
      <c r="J87" s="246" t="s">
        <v>262</v>
      </c>
      <c r="K87" s="246" t="s">
        <v>262</v>
      </c>
    </row>
    <row r="88" spans="1:11" x14ac:dyDescent="0.3">
      <c r="A88" s="246" t="s">
        <v>281</v>
      </c>
      <c r="B88" s="246" t="s">
        <v>262</v>
      </c>
      <c r="C88" s="246" t="s">
        <v>262</v>
      </c>
      <c r="D88" s="246" t="s">
        <v>262</v>
      </c>
      <c r="E88" s="246" t="s">
        <v>262</v>
      </c>
      <c r="F88" s="246" t="s">
        <v>262</v>
      </c>
      <c r="G88" s="246" t="s">
        <v>262</v>
      </c>
      <c r="H88" s="246" t="s">
        <v>262</v>
      </c>
      <c r="I88" s="246" t="s">
        <v>262</v>
      </c>
      <c r="J88" s="246" t="s">
        <v>262</v>
      </c>
      <c r="K88" s="246" t="s">
        <v>262</v>
      </c>
    </row>
    <row r="89" spans="1:11" x14ac:dyDescent="0.3">
      <c r="A89" s="246" t="s">
        <v>282</v>
      </c>
      <c r="B89" s="246">
        <v>14.974</v>
      </c>
      <c r="C89" s="246">
        <v>0.76200000000000001</v>
      </c>
      <c r="D89" s="246">
        <v>47.967998999999999</v>
      </c>
      <c r="E89" s="246">
        <v>26.355</v>
      </c>
      <c r="F89" s="246">
        <v>11.561</v>
      </c>
      <c r="G89" s="246">
        <v>81.023003000000003</v>
      </c>
      <c r="H89" s="246">
        <v>104.539001</v>
      </c>
      <c r="I89" s="246">
        <v>66.626998999999998</v>
      </c>
      <c r="J89" s="246">
        <v>27.062999999999999</v>
      </c>
      <c r="K89" s="246">
        <v>114.662003</v>
      </c>
    </row>
    <row r="90" spans="1:11" s="63" customFormat="1" x14ac:dyDescent="0.3">
      <c r="A90" s="266" t="s">
        <v>283</v>
      </c>
      <c r="B90" s="266">
        <v>71.721999999999994</v>
      </c>
      <c r="C90" s="266">
        <v>61.993000000000002</v>
      </c>
      <c r="D90" s="266">
        <v>49.125999</v>
      </c>
      <c r="E90" s="266">
        <v>76.650002000000001</v>
      </c>
      <c r="F90" s="266">
        <v>69.596001000000001</v>
      </c>
      <c r="G90" s="266">
        <v>53.481997999999997</v>
      </c>
      <c r="H90" s="266">
        <v>952.99597200000005</v>
      </c>
      <c r="I90" s="266">
        <v>688.35900900000001</v>
      </c>
      <c r="J90" s="266">
        <v>596.70001200000002</v>
      </c>
      <c r="K90" s="266">
        <v>550.69097899999997</v>
      </c>
    </row>
    <row r="91" spans="1:11" x14ac:dyDescent="0.3">
      <c r="A91" s="262" t="s">
        <v>284</v>
      </c>
      <c r="B91" s="246">
        <v>10.651999999999999</v>
      </c>
      <c r="C91" s="246">
        <v>13.166</v>
      </c>
      <c r="D91" s="246">
        <v>9.6579999999999995</v>
      </c>
      <c r="E91" s="246">
        <v>11.984999999999999</v>
      </c>
      <c r="F91" s="246">
        <v>14.72</v>
      </c>
      <c r="G91" s="246">
        <v>11.134</v>
      </c>
      <c r="H91" s="246">
        <v>14.592000000000001</v>
      </c>
      <c r="I91" s="246">
        <v>71.594002000000003</v>
      </c>
      <c r="J91" s="246">
        <v>36.896000000000001</v>
      </c>
      <c r="K91" s="246">
        <v>45.673999999999999</v>
      </c>
    </row>
    <row r="92" spans="1:11" x14ac:dyDescent="0.3">
      <c r="A92" s="262" t="s">
        <v>285</v>
      </c>
      <c r="B92" s="246">
        <v>61.07</v>
      </c>
      <c r="C92" s="246">
        <v>48.826999999999998</v>
      </c>
      <c r="D92" s="246">
        <v>39.467998999999999</v>
      </c>
      <c r="E92" s="246">
        <v>64.665001000000004</v>
      </c>
      <c r="F92" s="246">
        <v>54.875999</v>
      </c>
      <c r="G92" s="246">
        <v>42.347999999999999</v>
      </c>
      <c r="H92" s="246">
        <v>938.40399200000002</v>
      </c>
      <c r="I92" s="246">
        <v>616.76501499999995</v>
      </c>
      <c r="J92" s="246">
        <v>559.80401600000005</v>
      </c>
      <c r="K92" s="246">
        <v>505.016998</v>
      </c>
    </row>
    <row r="93" spans="1:11" x14ac:dyDescent="0.3">
      <c r="A93" s="246" t="s">
        <v>286</v>
      </c>
      <c r="B93" s="246">
        <v>40.466000000000001</v>
      </c>
      <c r="C93" s="246">
        <v>44.426997999999998</v>
      </c>
      <c r="D93" s="246">
        <v>47.129002</v>
      </c>
      <c r="E93" s="246">
        <v>57.695</v>
      </c>
      <c r="F93" s="246">
        <v>53.669998</v>
      </c>
      <c r="G93" s="246">
        <v>48.305</v>
      </c>
      <c r="H93" s="246">
        <v>48.257998999999998</v>
      </c>
      <c r="I93" s="246">
        <v>45.521999000000001</v>
      </c>
      <c r="J93" s="246">
        <v>46.631999999999998</v>
      </c>
      <c r="K93" s="246">
        <v>45.106997999999997</v>
      </c>
    </row>
    <row r="94" spans="1:11" x14ac:dyDescent="0.3">
      <c r="A94" s="246" t="s">
        <v>287</v>
      </c>
      <c r="B94" s="246">
        <v>13.026</v>
      </c>
      <c r="C94" s="246">
        <v>13.317</v>
      </c>
      <c r="D94" s="246">
        <v>13.946</v>
      </c>
      <c r="E94" s="246">
        <v>14.231999999999999</v>
      </c>
      <c r="F94" s="246">
        <v>15.468999999999999</v>
      </c>
      <c r="G94" s="246">
        <v>17.243998999999999</v>
      </c>
      <c r="H94" s="246">
        <v>17.749001</v>
      </c>
      <c r="I94" s="246">
        <v>17.91</v>
      </c>
      <c r="J94" s="246">
        <v>26.733999000000001</v>
      </c>
      <c r="K94" s="246">
        <v>27.167998999999998</v>
      </c>
    </row>
    <row r="95" spans="1:11" x14ac:dyDescent="0.3">
      <c r="A95" s="246" t="s">
        <v>288</v>
      </c>
      <c r="B95" s="246">
        <v>67.355002999999996</v>
      </c>
      <c r="C95" s="246">
        <v>58.530997999999997</v>
      </c>
      <c r="D95" s="246">
        <v>15.75</v>
      </c>
      <c r="E95" s="246">
        <v>16.920999999999999</v>
      </c>
      <c r="F95" s="246">
        <v>19.986000000000001</v>
      </c>
      <c r="G95" s="246">
        <v>30.657</v>
      </c>
      <c r="H95" s="246">
        <v>28.202000000000002</v>
      </c>
      <c r="I95" s="246">
        <v>32.447997999999998</v>
      </c>
      <c r="J95" s="246">
        <v>37.57</v>
      </c>
      <c r="K95" s="246">
        <v>47.112999000000002</v>
      </c>
    </row>
    <row r="96" spans="1:11" x14ac:dyDescent="0.3">
      <c r="A96" s="262" t="s">
        <v>289</v>
      </c>
      <c r="B96" s="246">
        <v>3.5710000000000002</v>
      </c>
      <c r="C96" s="246">
        <v>2.9460000000000002</v>
      </c>
      <c r="D96" s="246">
        <v>2.5760000000000001</v>
      </c>
      <c r="E96" s="246">
        <v>2.2040000000000002</v>
      </c>
      <c r="F96" s="246">
        <v>2.673</v>
      </c>
      <c r="G96" s="246">
        <v>1.861</v>
      </c>
      <c r="H96" s="246">
        <v>1.597</v>
      </c>
      <c r="I96" s="246">
        <v>0.77700000000000002</v>
      </c>
      <c r="J96" s="246">
        <v>1.466</v>
      </c>
      <c r="K96" s="246">
        <v>1.3680000000000001</v>
      </c>
    </row>
    <row r="97" spans="1:11" x14ac:dyDescent="0.3">
      <c r="A97" s="262" t="s">
        <v>290</v>
      </c>
      <c r="B97" s="246">
        <v>63.783999999999999</v>
      </c>
      <c r="C97" s="246">
        <v>55.584999000000003</v>
      </c>
      <c r="D97" s="246">
        <v>13.173999999999999</v>
      </c>
      <c r="E97" s="246">
        <v>14.717000000000001</v>
      </c>
      <c r="F97" s="246">
        <v>17.312999999999999</v>
      </c>
      <c r="G97" s="246">
        <v>28.795999999999999</v>
      </c>
      <c r="H97" s="246">
        <v>26.605</v>
      </c>
      <c r="I97" s="246">
        <v>31.670999999999999</v>
      </c>
      <c r="J97" s="246">
        <v>36.103999999999999</v>
      </c>
      <c r="K97" s="246">
        <v>45.744999</v>
      </c>
    </row>
    <row r="98" spans="1:11" x14ac:dyDescent="0.3">
      <c r="A98" s="246" t="s">
        <v>291</v>
      </c>
      <c r="B98" s="246" t="s">
        <v>262</v>
      </c>
      <c r="C98" s="246" t="s">
        <v>262</v>
      </c>
      <c r="D98" s="246" t="s">
        <v>262</v>
      </c>
      <c r="E98" s="246" t="s">
        <v>262</v>
      </c>
      <c r="F98" s="246" t="s">
        <v>262</v>
      </c>
      <c r="G98" s="246" t="s">
        <v>262</v>
      </c>
      <c r="H98" s="246" t="s">
        <v>262</v>
      </c>
      <c r="I98" s="246" t="s">
        <v>262</v>
      </c>
      <c r="J98" s="246" t="s">
        <v>262</v>
      </c>
      <c r="K98" s="246" t="s">
        <v>262</v>
      </c>
    </row>
    <row r="99" spans="1:11" x14ac:dyDescent="0.3">
      <c r="A99" s="246" t="s">
        <v>292</v>
      </c>
      <c r="B99" s="246">
        <v>11.255000000000001</v>
      </c>
      <c r="C99" s="246">
        <v>10.933</v>
      </c>
      <c r="D99" s="246">
        <v>10.807</v>
      </c>
      <c r="E99" s="246">
        <v>10.635999999999999</v>
      </c>
      <c r="F99" s="246">
        <v>15.105</v>
      </c>
      <c r="G99" s="246">
        <v>14.358000000000001</v>
      </c>
      <c r="H99" s="246">
        <v>13.651</v>
      </c>
      <c r="I99" s="246">
        <v>10.577999999999999</v>
      </c>
      <c r="J99" s="246">
        <v>7.6859999999999999</v>
      </c>
      <c r="K99" s="246">
        <v>7.0730000000000004</v>
      </c>
    </row>
    <row r="100" spans="1:11" x14ac:dyDescent="0.3">
      <c r="A100" s="246" t="s">
        <v>293</v>
      </c>
      <c r="B100" s="246" t="s">
        <v>262</v>
      </c>
      <c r="C100" s="246" t="s">
        <v>262</v>
      </c>
      <c r="D100" s="246" t="s">
        <v>262</v>
      </c>
      <c r="E100" s="246" t="s">
        <v>262</v>
      </c>
      <c r="F100" s="246" t="s">
        <v>262</v>
      </c>
      <c r="G100" s="246" t="s">
        <v>262</v>
      </c>
      <c r="H100" s="246" t="s">
        <v>262</v>
      </c>
      <c r="I100" s="246" t="s">
        <v>262</v>
      </c>
      <c r="J100" s="246" t="s">
        <v>262</v>
      </c>
      <c r="K100" s="246" t="s">
        <v>262</v>
      </c>
    </row>
    <row r="101" spans="1:11" x14ac:dyDescent="0.3">
      <c r="A101" s="246" t="s">
        <v>294</v>
      </c>
      <c r="B101" s="246" t="s">
        <v>262</v>
      </c>
      <c r="C101" s="246" t="s">
        <v>262</v>
      </c>
      <c r="D101" s="246">
        <v>79.964995999999999</v>
      </c>
      <c r="E101" s="246">
        <v>73.716003000000001</v>
      </c>
      <c r="F101" s="246">
        <v>84.068000999999995</v>
      </c>
      <c r="G101" s="246">
        <v>82.468001999999998</v>
      </c>
      <c r="H101" s="246">
        <v>67.313004000000006</v>
      </c>
      <c r="I101" s="246">
        <v>48.771999000000001</v>
      </c>
      <c r="J101" s="246">
        <v>45.273997999999999</v>
      </c>
      <c r="K101" s="246">
        <v>45.766998000000001</v>
      </c>
    </row>
    <row r="102" spans="1:11" x14ac:dyDescent="0.3">
      <c r="A102" s="265" t="s">
        <v>144</v>
      </c>
      <c r="B102" s="265">
        <f t="shared" ref="B102:K102" si="9">SUM(B91:B92,B85,B81:B84,B69:B80,B93:B94,B96:B101,B89)</f>
        <v>1016.552971</v>
      </c>
      <c r="C102" s="265">
        <f t="shared" si="9"/>
        <v>1080.2100069999999</v>
      </c>
      <c r="D102" s="265">
        <f t="shared" si="9"/>
        <v>1076.1139699999999</v>
      </c>
      <c r="E102" s="265">
        <f t="shared" si="9"/>
        <v>1176.857</v>
      </c>
      <c r="F102" s="265">
        <f t="shared" si="9"/>
        <v>1175.2499810000002</v>
      </c>
      <c r="G102" s="265">
        <f t="shared" si="9"/>
        <v>1280.7030250000003</v>
      </c>
      <c r="H102" s="265">
        <f t="shared" si="9"/>
        <v>2144.743011</v>
      </c>
      <c r="I102" s="265">
        <f t="shared" si="9"/>
        <v>1803.3280230000005</v>
      </c>
      <c r="J102" s="265">
        <f t="shared" si="9"/>
        <v>1771.1219889999998</v>
      </c>
      <c r="K102" s="265">
        <f t="shared" si="9"/>
        <v>1726.83699</v>
      </c>
    </row>
    <row r="103" spans="1:11" x14ac:dyDescent="0.3">
      <c r="A103" s="246"/>
      <c r="B103" s="246"/>
      <c r="C103" s="246"/>
      <c r="D103" s="246"/>
      <c r="E103" s="246"/>
      <c r="F103" s="246"/>
      <c r="G103" s="246"/>
      <c r="H103" s="246"/>
      <c r="I103" s="246"/>
      <c r="J103" s="246"/>
      <c r="K103" s="246"/>
    </row>
    <row r="104" spans="1:11" x14ac:dyDescent="0.3">
      <c r="A104" s="246"/>
      <c r="B104" s="246"/>
      <c r="C104" s="246"/>
      <c r="D104" s="246"/>
      <c r="E104" s="246"/>
      <c r="F104" s="246"/>
      <c r="G104" s="246"/>
      <c r="H104" s="246"/>
      <c r="I104" s="246"/>
      <c r="J104" s="246"/>
      <c r="K104" s="246"/>
    </row>
    <row r="105" spans="1:11" x14ac:dyDescent="0.3">
      <c r="A105" s="246"/>
      <c r="B105" s="246"/>
      <c r="C105" s="246"/>
      <c r="D105" s="246"/>
      <c r="E105" s="246"/>
      <c r="F105" s="246"/>
      <c r="G105" s="246"/>
      <c r="H105" s="246"/>
      <c r="I105" s="246"/>
      <c r="J105" s="246"/>
      <c r="K105" s="246"/>
    </row>
    <row r="106" spans="1:11" x14ac:dyDescent="0.3">
      <c r="A106" s="246" t="s">
        <v>295</v>
      </c>
      <c r="B106" s="246">
        <v>1016.5529790000001</v>
      </c>
      <c r="C106" s="246">
        <v>1080.209961</v>
      </c>
      <c r="D106" s="246">
        <v>1076.114014</v>
      </c>
      <c r="E106" s="246">
        <v>1176.8570560000001</v>
      </c>
      <c r="F106" s="246">
        <v>1175.25</v>
      </c>
      <c r="G106" s="246">
        <v>1280.7030030000001</v>
      </c>
      <c r="H106" s="246">
        <v>2144.7429200000001</v>
      </c>
      <c r="I106" s="246">
        <v>1803.3280030000001</v>
      </c>
      <c r="J106" s="246">
        <v>1771.121948</v>
      </c>
      <c r="K106" s="246">
        <v>1726.8370359999999</v>
      </c>
    </row>
    <row r="107" spans="1:11" x14ac:dyDescent="0.3">
      <c r="A107" s="246" t="s">
        <v>296</v>
      </c>
      <c r="B107" s="246">
        <v>713.05297900000005</v>
      </c>
      <c r="C107" s="246">
        <v>774.09002699999996</v>
      </c>
      <c r="D107" s="246">
        <v>695.85497999999995</v>
      </c>
      <c r="E107" s="246">
        <v>762.39898700000003</v>
      </c>
      <c r="F107" s="246">
        <v>763.52697799999999</v>
      </c>
      <c r="G107" s="246">
        <v>948.80499299999997</v>
      </c>
      <c r="H107" s="246">
        <v>1880.3210449999999</v>
      </c>
      <c r="I107" s="246">
        <v>1548.520996</v>
      </c>
      <c r="J107" s="246">
        <v>1498.400024</v>
      </c>
      <c r="K107" s="246">
        <v>1443.0009769999999</v>
      </c>
    </row>
    <row r="108" spans="1:11" s="63" customFormat="1" x14ac:dyDescent="0.3">
      <c r="A108" s="266" t="s">
        <v>224</v>
      </c>
      <c r="B108" s="266">
        <v>205.77299500000001</v>
      </c>
      <c r="C108" s="266">
        <v>203.78500399999999</v>
      </c>
      <c r="D108" s="266">
        <v>203.17700199999999</v>
      </c>
      <c r="E108" s="266">
        <v>237.16499300000001</v>
      </c>
      <c r="F108" s="266">
        <v>234.79200700000001</v>
      </c>
      <c r="G108" s="266">
        <v>238.824005</v>
      </c>
      <c r="H108" s="266">
        <v>1201.8420410000001</v>
      </c>
      <c r="I108" s="266">
        <v>863.76501499999995</v>
      </c>
      <c r="J108" s="266">
        <v>806.30798300000004</v>
      </c>
      <c r="K108" s="266">
        <v>748.955017</v>
      </c>
    </row>
    <row r="109" spans="1:11" x14ac:dyDescent="0.3">
      <c r="A109" s="246" t="s">
        <v>297</v>
      </c>
      <c r="B109" s="246">
        <v>264.30499300000002</v>
      </c>
      <c r="C109" s="246">
        <v>309.84201000000002</v>
      </c>
      <c r="D109" s="246">
        <v>334.29901100000001</v>
      </c>
      <c r="E109" s="246">
        <v>366.743988</v>
      </c>
      <c r="F109" s="246">
        <v>365.11200000000002</v>
      </c>
      <c r="G109" s="246">
        <v>370.14001500000001</v>
      </c>
      <c r="H109" s="246">
        <v>379.60900900000001</v>
      </c>
      <c r="I109" s="246">
        <v>368.04699699999998</v>
      </c>
      <c r="J109" s="246">
        <v>387.83300800000001</v>
      </c>
      <c r="K109" s="246">
        <v>385.86999500000002</v>
      </c>
    </row>
    <row r="110" spans="1:11" x14ac:dyDescent="0.3">
      <c r="A110" s="246" t="s">
        <v>298</v>
      </c>
      <c r="B110" s="246" t="s">
        <v>262</v>
      </c>
      <c r="C110" s="246" t="s">
        <v>262</v>
      </c>
      <c r="D110" s="246" t="s">
        <v>262</v>
      </c>
      <c r="E110" s="246" t="s">
        <v>262</v>
      </c>
      <c r="F110" s="246" t="s">
        <v>262</v>
      </c>
      <c r="G110" s="246" t="s">
        <v>262</v>
      </c>
      <c r="H110" s="246" t="s">
        <v>262</v>
      </c>
      <c r="I110" s="246" t="s">
        <v>262</v>
      </c>
      <c r="J110" s="246" t="s">
        <v>262</v>
      </c>
      <c r="K110" s="246" t="s">
        <v>262</v>
      </c>
    </row>
    <row r="111" spans="1:11" x14ac:dyDescent="0.3">
      <c r="A111" s="246" t="s">
        <v>299</v>
      </c>
      <c r="B111" s="246">
        <v>38.695</v>
      </c>
      <c r="C111" s="246">
        <v>33.000999</v>
      </c>
      <c r="D111" s="246">
        <v>34.249001</v>
      </c>
      <c r="E111" s="246">
        <v>29.223998999999999</v>
      </c>
      <c r="F111" s="246">
        <v>40.797001000000002</v>
      </c>
      <c r="G111" s="246">
        <v>42.521000000000001</v>
      </c>
      <c r="H111" s="246">
        <v>47.459999000000003</v>
      </c>
      <c r="I111" s="246">
        <v>33.121001999999997</v>
      </c>
      <c r="J111" s="246">
        <v>46.466999000000001</v>
      </c>
      <c r="K111" s="246">
        <v>46.061000999999997</v>
      </c>
    </row>
    <row r="112" spans="1:11" x14ac:dyDescent="0.3">
      <c r="A112" s="262" t="s">
        <v>300</v>
      </c>
      <c r="B112" s="246">
        <v>24.291</v>
      </c>
      <c r="C112" s="246">
        <v>21.225000000000001</v>
      </c>
      <c r="D112" s="246">
        <v>19.062000000000001</v>
      </c>
      <c r="E112" s="246">
        <v>13.771000000000001</v>
      </c>
      <c r="F112" s="246">
        <v>23.898001000000001</v>
      </c>
      <c r="G112" s="246">
        <v>25.427999</v>
      </c>
      <c r="H112" s="246">
        <v>28.672001000000002</v>
      </c>
      <c r="I112" s="246">
        <v>18.587</v>
      </c>
      <c r="J112" s="246">
        <v>25.834</v>
      </c>
      <c r="K112" s="246">
        <v>26.837</v>
      </c>
    </row>
    <row r="113" spans="1:11" x14ac:dyDescent="0.3">
      <c r="A113" s="262" t="s">
        <v>301</v>
      </c>
      <c r="B113" s="246">
        <v>14.404</v>
      </c>
      <c r="C113" s="246">
        <v>11.776</v>
      </c>
      <c r="D113" s="246">
        <v>15.186999999999999</v>
      </c>
      <c r="E113" s="246">
        <v>15.452999999999999</v>
      </c>
      <c r="F113" s="246">
        <v>16.899000000000001</v>
      </c>
      <c r="G113" s="246">
        <v>17.093</v>
      </c>
      <c r="H113" s="246">
        <v>18.788</v>
      </c>
      <c r="I113" s="246">
        <v>14.534000000000001</v>
      </c>
      <c r="J113" s="246">
        <v>20.632999000000002</v>
      </c>
      <c r="K113" s="246">
        <v>19.224001000000001</v>
      </c>
    </row>
    <row r="114" spans="1:11" x14ac:dyDescent="0.3">
      <c r="A114" s="246" t="s">
        <v>302</v>
      </c>
      <c r="B114" s="246">
        <v>8.7999999999999995E-2</v>
      </c>
      <c r="C114" s="246">
        <v>8.6999999999999994E-2</v>
      </c>
      <c r="D114" s="246">
        <v>8.7999999999999995E-2</v>
      </c>
      <c r="E114" s="246" t="s">
        <v>262</v>
      </c>
      <c r="F114" s="246" t="s">
        <v>262</v>
      </c>
      <c r="G114" s="246" t="s">
        <v>262</v>
      </c>
      <c r="H114" s="246" t="s">
        <v>262</v>
      </c>
      <c r="I114" s="246" t="s">
        <v>262</v>
      </c>
      <c r="J114" s="246" t="s">
        <v>262</v>
      </c>
      <c r="K114" s="246" t="s">
        <v>262</v>
      </c>
    </row>
    <row r="115" spans="1:11" x14ac:dyDescent="0.3">
      <c r="A115" s="246" t="s">
        <v>303</v>
      </c>
      <c r="B115" s="246">
        <v>2.3170000000000002</v>
      </c>
      <c r="C115" s="246">
        <v>7.3979999999999997</v>
      </c>
      <c r="D115" s="246">
        <v>4.7270000000000003</v>
      </c>
      <c r="E115" s="246">
        <v>4.0170000000000003</v>
      </c>
      <c r="F115" s="246">
        <v>6.657</v>
      </c>
      <c r="G115" s="246">
        <v>4.3019999999999996</v>
      </c>
      <c r="H115" s="246">
        <v>3.0459999999999998</v>
      </c>
      <c r="I115" s="246">
        <v>8.6059999999999999</v>
      </c>
      <c r="J115" s="246">
        <v>7.0430000000000001</v>
      </c>
      <c r="K115" s="246">
        <v>7.0430000000000001</v>
      </c>
    </row>
    <row r="116" spans="1:11" x14ac:dyDescent="0.3">
      <c r="A116" s="246" t="s">
        <v>304</v>
      </c>
      <c r="B116" s="246" t="s">
        <v>262</v>
      </c>
      <c r="C116" s="246" t="s">
        <v>262</v>
      </c>
      <c r="D116" s="246" t="s">
        <v>262</v>
      </c>
      <c r="E116" s="246" t="s">
        <v>262</v>
      </c>
      <c r="F116" s="246" t="s">
        <v>262</v>
      </c>
      <c r="G116" s="246" t="s">
        <v>262</v>
      </c>
      <c r="H116" s="246" t="s">
        <v>262</v>
      </c>
      <c r="I116" s="246" t="s">
        <v>262</v>
      </c>
      <c r="J116" s="246" t="s">
        <v>262</v>
      </c>
      <c r="K116" s="246" t="s">
        <v>262</v>
      </c>
    </row>
    <row r="117" spans="1:11" x14ac:dyDescent="0.3">
      <c r="A117" s="246" t="s">
        <v>305</v>
      </c>
      <c r="B117" s="246">
        <v>31.283999999999999</v>
      </c>
      <c r="C117" s="246">
        <v>49.805999999999997</v>
      </c>
      <c r="D117" s="246">
        <v>33.950001</v>
      </c>
      <c r="E117" s="246">
        <v>53.006000999999998</v>
      </c>
      <c r="F117" s="246">
        <v>47.978999999999999</v>
      </c>
      <c r="G117" s="246">
        <v>75.201995999999994</v>
      </c>
      <c r="H117" s="246">
        <v>34.992001000000002</v>
      </c>
      <c r="I117" s="246">
        <v>41.728000999999999</v>
      </c>
      <c r="J117" s="246">
        <v>51.430999999999997</v>
      </c>
      <c r="K117" s="246">
        <v>43.573002000000002</v>
      </c>
    </row>
    <row r="118" spans="1:11" x14ac:dyDescent="0.3">
      <c r="A118" s="263" t="s">
        <v>306</v>
      </c>
      <c r="B118" s="246">
        <v>27.704999999999998</v>
      </c>
      <c r="C118" s="246">
        <v>46.855998999999997</v>
      </c>
      <c r="D118" s="246">
        <v>31.372</v>
      </c>
      <c r="E118" s="246">
        <v>50.803001000000002</v>
      </c>
      <c r="F118" s="246">
        <v>45.317000999999998</v>
      </c>
      <c r="G118" s="246">
        <v>73.377998000000005</v>
      </c>
      <c r="H118" s="246">
        <v>33.452998999999998</v>
      </c>
      <c r="I118" s="246">
        <v>41.006999999999998</v>
      </c>
      <c r="J118" s="246">
        <v>50.009003</v>
      </c>
      <c r="K118" s="246">
        <v>42.201000000000001</v>
      </c>
    </row>
    <row r="119" spans="1:11" x14ac:dyDescent="0.3">
      <c r="A119" s="263" t="s">
        <v>307</v>
      </c>
      <c r="B119" s="246" t="s">
        <v>262</v>
      </c>
      <c r="C119" s="246" t="s">
        <v>262</v>
      </c>
      <c r="D119" s="246" t="s">
        <v>262</v>
      </c>
      <c r="E119" s="246">
        <v>19.318000999999999</v>
      </c>
      <c r="F119" s="246">
        <v>20.899000000000001</v>
      </c>
      <c r="G119" s="246">
        <v>24.641000999999999</v>
      </c>
      <c r="H119" s="246">
        <v>0</v>
      </c>
      <c r="I119" s="246">
        <v>17.646000000000001</v>
      </c>
      <c r="J119" s="246">
        <v>14.122999999999999</v>
      </c>
      <c r="K119" s="246">
        <v>5.391</v>
      </c>
    </row>
    <row r="120" spans="1:11" x14ac:dyDescent="0.3">
      <c r="A120" s="263" t="s">
        <v>308</v>
      </c>
      <c r="B120" s="246" t="s">
        <v>262</v>
      </c>
      <c r="C120" s="246" t="s">
        <v>262</v>
      </c>
      <c r="D120" s="246" t="s">
        <v>262</v>
      </c>
      <c r="E120" s="246">
        <v>31.485001</v>
      </c>
      <c r="F120" s="246">
        <v>24.417998999999998</v>
      </c>
      <c r="G120" s="246">
        <v>48.737000000000002</v>
      </c>
      <c r="H120" s="246">
        <v>33.452998999999998</v>
      </c>
      <c r="I120" s="246">
        <v>23.361000000000001</v>
      </c>
      <c r="J120" s="246">
        <v>35.886001999999998</v>
      </c>
      <c r="K120" s="246">
        <v>36.810001</v>
      </c>
    </row>
    <row r="121" spans="1:11" x14ac:dyDescent="0.3">
      <c r="A121" s="262" t="s">
        <v>309</v>
      </c>
      <c r="B121" s="246">
        <v>3.5790000000000002</v>
      </c>
      <c r="C121" s="246">
        <v>2.95</v>
      </c>
      <c r="D121" s="246">
        <v>2.5779999999999998</v>
      </c>
      <c r="E121" s="246">
        <v>2.2029999999999998</v>
      </c>
      <c r="F121" s="246">
        <v>2.6619999999999999</v>
      </c>
      <c r="G121" s="246">
        <v>1.8240000000000001</v>
      </c>
      <c r="H121" s="246">
        <v>1.5389999999999999</v>
      </c>
      <c r="I121" s="246">
        <v>0.72099999999999997</v>
      </c>
      <c r="J121" s="246">
        <v>1.4219999999999999</v>
      </c>
      <c r="K121" s="246">
        <v>1.3720000000000001</v>
      </c>
    </row>
    <row r="122" spans="1:11" x14ac:dyDescent="0.3">
      <c r="A122" s="246" t="s">
        <v>310</v>
      </c>
      <c r="B122" s="246" t="s">
        <v>262</v>
      </c>
      <c r="C122" s="246">
        <v>2.552</v>
      </c>
      <c r="D122" s="246">
        <v>3.5739999999999998</v>
      </c>
      <c r="E122" s="246" t="s">
        <v>262</v>
      </c>
      <c r="F122" s="246">
        <v>3.0609999999999999</v>
      </c>
      <c r="G122" s="246" t="s">
        <v>262</v>
      </c>
      <c r="H122" s="246" t="s">
        <v>262</v>
      </c>
      <c r="I122" s="246" t="s">
        <v>262</v>
      </c>
      <c r="J122" s="246" t="s">
        <v>262</v>
      </c>
      <c r="K122" s="246">
        <v>0.21</v>
      </c>
    </row>
    <row r="123" spans="1:11" x14ac:dyDescent="0.3">
      <c r="A123" s="246" t="s">
        <v>311</v>
      </c>
      <c r="B123" s="246" t="s">
        <v>262</v>
      </c>
      <c r="C123" s="246" t="s">
        <v>262</v>
      </c>
      <c r="D123" s="246" t="s">
        <v>262</v>
      </c>
      <c r="E123" s="246">
        <v>0</v>
      </c>
      <c r="F123" s="246" t="s">
        <v>262</v>
      </c>
      <c r="G123" s="246" t="s">
        <v>262</v>
      </c>
      <c r="H123" s="246" t="s">
        <v>262</v>
      </c>
      <c r="I123" s="246">
        <v>19.863001000000001</v>
      </c>
      <c r="J123" s="246">
        <v>0</v>
      </c>
      <c r="K123" s="246">
        <v>0</v>
      </c>
    </row>
    <row r="124" spans="1:11" x14ac:dyDescent="0.3">
      <c r="A124" s="246" t="s">
        <v>291</v>
      </c>
      <c r="B124" s="246">
        <v>10.052</v>
      </c>
      <c r="C124" s="246">
        <v>7.05</v>
      </c>
      <c r="D124" s="246">
        <v>3.7080000000000002</v>
      </c>
      <c r="E124" s="246">
        <v>11.739000000000001</v>
      </c>
      <c r="F124" s="246">
        <v>4.8339999999999996</v>
      </c>
      <c r="G124" s="246">
        <v>6.1680000000000001</v>
      </c>
      <c r="H124" s="246">
        <v>1.7050000000000001</v>
      </c>
      <c r="I124" s="246">
        <v>1.704</v>
      </c>
      <c r="J124" s="246">
        <v>3.16</v>
      </c>
      <c r="K124" s="246">
        <v>3.133</v>
      </c>
    </row>
    <row r="125" spans="1:11" x14ac:dyDescent="0.3">
      <c r="A125" s="246" t="s">
        <v>312</v>
      </c>
      <c r="B125" s="246" t="s">
        <v>262</v>
      </c>
      <c r="C125" s="246" t="s">
        <v>262</v>
      </c>
      <c r="D125" s="246" t="s">
        <v>262</v>
      </c>
      <c r="E125" s="246" t="s">
        <v>262</v>
      </c>
      <c r="F125" s="246" t="s">
        <v>262</v>
      </c>
      <c r="G125" s="246" t="s">
        <v>262</v>
      </c>
      <c r="H125" s="246" t="s">
        <v>262</v>
      </c>
      <c r="I125" s="246" t="s">
        <v>262</v>
      </c>
      <c r="J125" s="246" t="s">
        <v>262</v>
      </c>
      <c r="K125" s="246" t="s">
        <v>262</v>
      </c>
    </row>
    <row r="126" spans="1:11" x14ac:dyDescent="0.3">
      <c r="A126" s="246" t="s">
        <v>313</v>
      </c>
      <c r="B126" s="246">
        <v>0</v>
      </c>
      <c r="C126" s="246">
        <v>0</v>
      </c>
      <c r="D126" s="246">
        <v>0</v>
      </c>
      <c r="E126" s="246">
        <v>15</v>
      </c>
      <c r="F126" s="246">
        <v>15</v>
      </c>
      <c r="G126" s="246">
        <v>0</v>
      </c>
      <c r="H126" s="246">
        <v>0</v>
      </c>
      <c r="I126" s="246">
        <v>0</v>
      </c>
      <c r="J126" s="246" t="s">
        <v>262</v>
      </c>
      <c r="K126" s="246" t="s">
        <v>262</v>
      </c>
    </row>
    <row r="127" spans="1:11" x14ac:dyDescent="0.3">
      <c r="A127" s="246" t="s">
        <v>314</v>
      </c>
      <c r="B127" s="246">
        <v>160.53900100000001</v>
      </c>
      <c r="C127" s="246">
        <v>160.56899999999999</v>
      </c>
      <c r="D127" s="246">
        <v>78.082999999999998</v>
      </c>
      <c r="E127" s="246">
        <v>45.504002</v>
      </c>
      <c r="F127" s="246">
        <v>45.294998</v>
      </c>
      <c r="G127" s="246">
        <v>211.64799500000001</v>
      </c>
      <c r="H127" s="246">
        <v>211.66700700000001</v>
      </c>
      <c r="I127" s="246">
        <v>211.68699599999999</v>
      </c>
      <c r="J127" s="246">
        <v>196.158005</v>
      </c>
      <c r="K127" s="246">
        <v>208.15600599999999</v>
      </c>
    </row>
    <row r="128" spans="1:11" x14ac:dyDescent="0.3">
      <c r="A128" s="265" t="s">
        <v>315</v>
      </c>
      <c r="B128" s="265">
        <f>SUM(B122:B127,B118:B121,B112:B116,B108:B110)</f>
        <v>713.05298900000003</v>
      </c>
      <c r="C128" s="265">
        <f>SUM(C122:C127,C118:C121,C112:C116,C108:C110)</f>
        <v>774.090013</v>
      </c>
      <c r="D128" s="265">
        <f>SUM(D122:D127,D118:D121,D112:D116,D108:D110)</f>
        <v>695.8550130000001</v>
      </c>
      <c r="E128" s="265">
        <f t="shared" ref="E128:K128" si="10">SUM(E122:E127,E119:E121,E112:E116,E108:E110)</f>
        <v>762.39898500000004</v>
      </c>
      <c r="F128" s="265">
        <f t="shared" si="10"/>
        <v>763.52700500000014</v>
      </c>
      <c r="G128" s="265">
        <f t="shared" si="10"/>
        <v>948.80501500000014</v>
      </c>
      <c r="H128" s="265">
        <f t="shared" si="10"/>
        <v>1880.3210570000001</v>
      </c>
      <c r="I128" s="265">
        <f t="shared" si="10"/>
        <v>1548.5210089999998</v>
      </c>
      <c r="J128" s="265">
        <f t="shared" si="10"/>
        <v>1498.399997</v>
      </c>
      <c r="K128" s="265">
        <f t="shared" si="10"/>
        <v>1443.0010199999999</v>
      </c>
    </row>
    <row r="129" spans="1:11" x14ac:dyDescent="0.3">
      <c r="A129" s="246"/>
      <c r="B129" s="246"/>
      <c r="C129" s="246"/>
      <c r="D129" s="246"/>
      <c r="E129" s="246"/>
      <c r="F129" s="246"/>
      <c r="G129" s="246"/>
      <c r="H129" s="246"/>
      <c r="I129" s="246"/>
      <c r="J129" s="246"/>
      <c r="K129" s="246"/>
    </row>
    <row r="130" spans="1:11" x14ac:dyDescent="0.3">
      <c r="A130" s="246" t="s">
        <v>316</v>
      </c>
      <c r="B130" s="246">
        <v>85.891998000000001</v>
      </c>
      <c r="C130" s="246">
        <v>88.070999</v>
      </c>
      <c r="D130" s="246">
        <v>87.731003000000001</v>
      </c>
      <c r="E130" s="246">
        <v>89.955001999999993</v>
      </c>
      <c r="F130" s="246">
        <v>89.694999999999993</v>
      </c>
      <c r="G130" s="246">
        <v>91.962997000000001</v>
      </c>
      <c r="H130" s="246">
        <v>91.248001000000002</v>
      </c>
      <c r="I130" s="246">
        <v>93.553000999999995</v>
      </c>
      <c r="J130" s="246">
        <v>92.864998</v>
      </c>
      <c r="K130" s="246">
        <v>95.202003000000005</v>
      </c>
    </row>
    <row r="131" spans="1:11" x14ac:dyDescent="0.3">
      <c r="A131" s="265" t="s">
        <v>317</v>
      </c>
      <c r="B131" s="265">
        <f t="shared" ref="B131:K131" si="11">B102-B128-B130</f>
        <v>217.60798399999993</v>
      </c>
      <c r="C131" s="265">
        <f t="shared" si="11"/>
        <v>218.04899499999991</v>
      </c>
      <c r="D131" s="265">
        <f t="shared" si="11"/>
        <v>292.5279539999998</v>
      </c>
      <c r="E131" s="265">
        <f t="shared" si="11"/>
        <v>324.50301299999995</v>
      </c>
      <c r="F131" s="265">
        <f t="shared" si="11"/>
        <v>322.02797600000002</v>
      </c>
      <c r="G131" s="265">
        <f t="shared" si="11"/>
        <v>239.93501300000011</v>
      </c>
      <c r="H131" s="265">
        <f t="shared" si="11"/>
        <v>173.17395299999993</v>
      </c>
      <c r="I131" s="265">
        <f t="shared" si="11"/>
        <v>161.25401300000067</v>
      </c>
      <c r="J131" s="265">
        <f t="shared" si="11"/>
        <v>179.85699399999976</v>
      </c>
      <c r="K131" s="265">
        <f t="shared" si="11"/>
        <v>188.6339670000001</v>
      </c>
    </row>
    <row r="132" spans="1:11" x14ac:dyDescent="0.3">
      <c r="A132" s="267" t="s">
        <v>318</v>
      </c>
      <c r="B132" s="268">
        <v>9.93</v>
      </c>
      <c r="C132" s="268">
        <v>7.9480000000000004</v>
      </c>
      <c r="D132" s="268">
        <v>8.0229999999999997</v>
      </c>
      <c r="E132" s="268">
        <v>9.9860000000000007</v>
      </c>
      <c r="F132" s="268">
        <v>9.7669999999999995</v>
      </c>
      <c r="G132" s="268">
        <v>9.0220000000000002</v>
      </c>
      <c r="H132" s="268">
        <v>8.4269999999999996</v>
      </c>
      <c r="I132" s="268">
        <v>8.3559999999999999</v>
      </c>
      <c r="J132" s="268">
        <v>10.86</v>
      </c>
      <c r="K132" s="268">
        <v>10.920999999999999</v>
      </c>
    </row>
    <row r="133" spans="1:11" x14ac:dyDescent="0.3">
      <c r="A133" s="267" t="s">
        <v>319</v>
      </c>
      <c r="B133" s="268">
        <f t="shared" ref="B133:K133" si="12">B131/B132</f>
        <v>21.914197784491435</v>
      </c>
      <c r="C133" s="268">
        <f t="shared" si="12"/>
        <v>27.434448288877693</v>
      </c>
      <c r="D133" s="268">
        <f t="shared" si="12"/>
        <v>36.461168390876203</v>
      </c>
      <c r="E133" s="268">
        <f t="shared" si="12"/>
        <v>32.495795413579003</v>
      </c>
      <c r="F133" s="268">
        <f t="shared" si="12"/>
        <v>32.971022422442921</v>
      </c>
      <c r="G133" s="268">
        <f t="shared" si="12"/>
        <v>26.594437264464652</v>
      </c>
      <c r="H133" s="268">
        <f t="shared" si="12"/>
        <v>20.549893556425765</v>
      </c>
      <c r="I133" s="268">
        <f t="shared" si="12"/>
        <v>19.297991024413676</v>
      </c>
      <c r="J133" s="268">
        <f t="shared" si="12"/>
        <v>16.561417495395926</v>
      </c>
      <c r="K133" s="268">
        <f t="shared" si="12"/>
        <v>17.272591063089472</v>
      </c>
    </row>
    <row r="134" spans="1:11" x14ac:dyDescent="0.3">
      <c r="A134" s="267"/>
      <c r="B134" s="268"/>
      <c r="C134" s="268"/>
      <c r="D134" s="268"/>
      <c r="E134" s="268"/>
      <c r="F134" s="268"/>
      <c r="G134" s="268"/>
      <c r="H134" s="268"/>
      <c r="I134" s="268"/>
      <c r="J134" s="268"/>
      <c r="K134" s="268"/>
    </row>
    <row r="135" spans="1:11" x14ac:dyDescent="0.3">
      <c r="A135" s="246" t="s">
        <v>503</v>
      </c>
      <c r="B135" s="269">
        <f>B133*$B$59</f>
        <v>11.035705377748481</v>
      </c>
      <c r="C135" s="269">
        <f t="shared" ref="C135:K135" si="13">C133*$B$59</f>
        <v>13.815631833504341</v>
      </c>
      <c r="D135" s="269">
        <f t="shared" si="13"/>
        <v>18.36137083580326</v>
      </c>
      <c r="E135" s="269">
        <f t="shared" si="13"/>
        <v>16.364460507590998</v>
      </c>
      <c r="F135" s="269">
        <f t="shared" si="13"/>
        <v>16.60377865689977</v>
      </c>
      <c r="G135" s="269">
        <f t="shared" si="13"/>
        <v>13.392613191861733</v>
      </c>
      <c r="H135" s="269">
        <f t="shared" si="13"/>
        <v>10.348659488384262</v>
      </c>
      <c r="I135" s="269">
        <f t="shared" si="13"/>
        <v>9.7182176332541594</v>
      </c>
      <c r="J135" s="269">
        <f t="shared" si="13"/>
        <v>8.340114747272283</v>
      </c>
      <c r="K135" s="269">
        <f t="shared" si="13"/>
        <v>8.6982525190807696</v>
      </c>
    </row>
    <row r="136" spans="1:11" x14ac:dyDescent="0.3">
      <c r="A136" s="246" t="s">
        <v>502</v>
      </c>
      <c r="B136" s="269">
        <f>B133*$B$60</f>
        <v>10.878492406742954</v>
      </c>
      <c r="C136" s="269">
        <f t="shared" ref="C136:K136" si="14">C133*$B$60</f>
        <v>13.618816455373352</v>
      </c>
      <c r="D136" s="269">
        <f t="shared" si="14"/>
        <v>18.099797555072943</v>
      </c>
      <c r="E136" s="269">
        <f t="shared" si="14"/>
        <v>16.131334905988005</v>
      </c>
      <c r="F136" s="269">
        <f t="shared" si="14"/>
        <v>16.367243765543151</v>
      </c>
      <c r="G136" s="269">
        <f t="shared" si="14"/>
        <v>13.201824072602919</v>
      </c>
      <c r="H136" s="269">
        <f t="shared" si="14"/>
        <v>10.201234068041503</v>
      </c>
      <c r="I136" s="269">
        <f t="shared" si="14"/>
        <v>9.5797733911595166</v>
      </c>
      <c r="J136" s="269">
        <f t="shared" si="14"/>
        <v>8.2213027481236427</v>
      </c>
      <c r="K136" s="269">
        <f t="shared" si="14"/>
        <v>8.5743385440087021</v>
      </c>
    </row>
    <row r="137" spans="1:11" x14ac:dyDescent="0.3">
      <c r="A137" s="246"/>
      <c r="B137" s="246"/>
      <c r="C137" s="246"/>
      <c r="D137" s="246"/>
      <c r="E137" s="246"/>
      <c r="F137" s="246"/>
      <c r="G137" s="246"/>
      <c r="H137" s="246"/>
      <c r="I137" s="246"/>
      <c r="J137" s="246"/>
      <c r="K137" s="246"/>
    </row>
    <row r="138" spans="1:11" x14ac:dyDescent="0.3">
      <c r="A138" s="246" t="s">
        <v>320</v>
      </c>
      <c r="B138" s="246"/>
      <c r="C138" s="246"/>
      <c r="D138" s="246"/>
      <c r="E138" s="246"/>
      <c r="F138" s="246"/>
      <c r="G138" s="246"/>
      <c r="H138" s="246"/>
      <c r="I138" s="246"/>
      <c r="J138" s="246"/>
      <c r="K138" s="246"/>
    </row>
    <row r="139" spans="1:11" x14ac:dyDescent="0.3">
      <c r="A139" s="246"/>
      <c r="B139" s="246"/>
      <c r="C139" s="246"/>
      <c r="D139" s="246"/>
      <c r="E139" s="246"/>
      <c r="F139" s="246"/>
      <c r="G139" s="246"/>
      <c r="H139" s="246"/>
      <c r="I139" s="246"/>
      <c r="J139" s="246"/>
      <c r="K139" s="246"/>
    </row>
    <row r="140" spans="1:11" x14ac:dyDescent="0.3">
      <c r="A140" s="246"/>
      <c r="B140" s="246"/>
      <c r="C140" s="246"/>
      <c r="D140" s="246"/>
      <c r="E140" s="246"/>
      <c r="F140" s="246"/>
      <c r="G140" s="246"/>
      <c r="H140" s="246"/>
      <c r="I140" s="246"/>
      <c r="J140" s="246"/>
      <c r="K140" s="246"/>
    </row>
    <row r="141" spans="1:11" x14ac:dyDescent="0.3">
      <c r="A141" s="246"/>
      <c r="B141" s="246"/>
      <c r="C141" s="246"/>
      <c r="D141" s="246"/>
      <c r="E141" s="246"/>
      <c r="F141" s="246"/>
      <c r="G141" s="246"/>
      <c r="H141" s="246"/>
      <c r="I141" s="246"/>
      <c r="J141" s="246"/>
      <c r="K141" s="246"/>
    </row>
    <row r="142" spans="1:11" x14ac:dyDescent="0.3">
      <c r="A142" s="246"/>
      <c r="B142" s="246"/>
      <c r="C142" s="246"/>
      <c r="D142" s="246"/>
      <c r="E142" s="246"/>
      <c r="F142" s="246"/>
      <c r="G142" s="246"/>
      <c r="H142" s="246"/>
      <c r="I142" s="246"/>
      <c r="J142" s="246"/>
      <c r="K142" s="246"/>
    </row>
    <row r="143" spans="1:11" x14ac:dyDescent="0.3">
      <c r="A143" s="246"/>
      <c r="B143" s="246"/>
      <c r="C143" s="246"/>
      <c r="D143" s="246"/>
      <c r="E143" s="246"/>
      <c r="F143" s="246"/>
      <c r="G143" s="246"/>
      <c r="H143" s="246"/>
      <c r="I143" s="246"/>
      <c r="J143" s="246"/>
      <c r="K143" s="246"/>
    </row>
    <row r="144" spans="1:11" x14ac:dyDescent="0.3">
      <c r="A144" s="246"/>
      <c r="B144" s="246"/>
      <c r="C144" s="246"/>
      <c r="D144" s="246"/>
      <c r="E144" s="246"/>
      <c r="F144" s="246"/>
      <c r="G144" s="246"/>
      <c r="H144" s="246"/>
      <c r="I144" s="246"/>
      <c r="J144" s="246"/>
      <c r="K144" s="246"/>
    </row>
    <row r="145" spans="1:11" x14ac:dyDescent="0.3">
      <c r="A145" s="246" t="s">
        <v>283</v>
      </c>
      <c r="B145" s="246">
        <v>71.721999999999994</v>
      </c>
      <c r="C145" s="246">
        <v>61.993000000000002</v>
      </c>
      <c r="D145" s="246">
        <v>49.125999</v>
      </c>
      <c r="E145" s="246">
        <v>76.650002000000001</v>
      </c>
      <c r="F145" s="246">
        <v>69.596001000000001</v>
      </c>
      <c r="G145" s="246">
        <v>53.481997999999997</v>
      </c>
      <c r="H145" s="246">
        <v>952.99597200000005</v>
      </c>
      <c r="I145" s="246">
        <v>688.35900900000001</v>
      </c>
      <c r="J145" s="246">
        <v>596.70001200000002</v>
      </c>
      <c r="K145" s="246">
        <v>550.69097899999997</v>
      </c>
    </row>
    <row r="146" spans="1:11" x14ac:dyDescent="0.3">
      <c r="A146" s="262" t="s">
        <v>284</v>
      </c>
      <c r="B146" s="246">
        <v>10.651999999999999</v>
      </c>
      <c r="C146" s="246">
        <v>13.166</v>
      </c>
      <c r="D146" s="246">
        <v>9.6579999999999995</v>
      </c>
      <c r="E146" s="246">
        <v>11.984999999999999</v>
      </c>
      <c r="F146" s="246">
        <v>14.72</v>
      </c>
      <c r="G146" s="246">
        <v>11.134</v>
      </c>
      <c r="H146" s="246">
        <v>14.592000000000001</v>
      </c>
      <c r="I146" s="246">
        <v>71.594002000000003</v>
      </c>
      <c r="J146" s="246">
        <v>36.896000000000001</v>
      </c>
      <c r="K146" s="246">
        <v>45.673999999999999</v>
      </c>
    </row>
    <row r="147" spans="1:11" x14ac:dyDescent="0.3">
      <c r="A147" s="262" t="s">
        <v>285</v>
      </c>
      <c r="B147" s="246">
        <v>61.07</v>
      </c>
      <c r="C147" s="246">
        <v>48.826999999999998</v>
      </c>
      <c r="D147" s="246">
        <v>39.467998999999999</v>
      </c>
      <c r="E147" s="246">
        <v>64.665001000000004</v>
      </c>
      <c r="F147" s="246">
        <v>54.875999</v>
      </c>
      <c r="G147" s="246">
        <v>42.347999999999999</v>
      </c>
      <c r="H147" s="246">
        <v>938.40399200000002</v>
      </c>
      <c r="I147" s="246">
        <v>616.76501499999995</v>
      </c>
      <c r="J147" s="246">
        <v>559.80401600000005</v>
      </c>
      <c r="K147" s="246">
        <v>505.016998</v>
      </c>
    </row>
    <row r="148" spans="1:11" x14ac:dyDescent="0.3">
      <c r="A148" s="246"/>
      <c r="B148" s="246"/>
      <c r="C148" s="246"/>
      <c r="D148" s="246"/>
      <c r="E148" s="246"/>
      <c r="F148" s="246"/>
      <c r="G148" s="246"/>
      <c r="H148" s="246"/>
      <c r="I148" s="246"/>
      <c r="J148" s="246"/>
      <c r="K148" s="246"/>
    </row>
    <row r="149" spans="1:11" x14ac:dyDescent="0.3">
      <c r="A149" s="246" t="s">
        <v>224</v>
      </c>
      <c r="B149" s="246">
        <v>205.77299500000001</v>
      </c>
      <c r="C149" s="246">
        <v>203.78500399999999</v>
      </c>
      <c r="D149" s="246">
        <v>203.17700199999999</v>
      </c>
      <c r="E149" s="246">
        <v>237.16499300000001</v>
      </c>
      <c r="F149" s="246">
        <v>234.79200700000001</v>
      </c>
      <c r="G149" s="246">
        <v>238.824005</v>
      </c>
      <c r="H149" s="246">
        <v>1201.8420410000001</v>
      </c>
      <c r="I149" s="246">
        <v>863.76501499999995</v>
      </c>
      <c r="J149" s="246">
        <v>806.30798300000004</v>
      </c>
      <c r="K149" s="246">
        <v>748.955017</v>
      </c>
    </row>
    <row r="150" spans="1:11" x14ac:dyDescent="0.3">
      <c r="A150" s="246" t="s">
        <v>297</v>
      </c>
      <c r="B150" s="246">
        <v>264.30499300000002</v>
      </c>
      <c r="C150" s="246">
        <v>309.84201000000002</v>
      </c>
      <c r="D150" s="246">
        <v>334.29901100000001</v>
      </c>
      <c r="E150" s="246">
        <v>366.743988</v>
      </c>
      <c r="F150" s="246">
        <v>365.11200000000002</v>
      </c>
      <c r="G150" s="246">
        <v>370.14001500000001</v>
      </c>
      <c r="H150" s="246">
        <v>379.60900900000001</v>
      </c>
      <c r="I150" s="246">
        <v>368.04699699999998</v>
      </c>
      <c r="J150" s="246">
        <v>387.83300800000001</v>
      </c>
      <c r="K150" s="246">
        <v>385.86999500000002</v>
      </c>
    </row>
    <row r="151" spans="1:11" x14ac:dyDescent="0.3">
      <c r="A151" s="246"/>
      <c r="B151" s="246"/>
      <c r="C151" s="246"/>
      <c r="D151" s="246"/>
      <c r="E151" s="246"/>
      <c r="F151" s="246"/>
      <c r="G151" s="246"/>
      <c r="H151" s="246"/>
      <c r="I151" s="246"/>
      <c r="J151" s="246"/>
      <c r="K151" s="246"/>
    </row>
    <row r="152" spans="1:11" x14ac:dyDescent="0.3">
      <c r="A152" s="246"/>
      <c r="B152" s="246"/>
      <c r="C152" s="246"/>
      <c r="D152" s="246"/>
      <c r="E152" s="246"/>
      <c r="F152" s="246"/>
      <c r="G152" s="246"/>
      <c r="H152" s="246"/>
      <c r="I152" s="246"/>
      <c r="J152" s="246"/>
      <c r="K152" s="246"/>
    </row>
    <row r="153" spans="1:11" x14ac:dyDescent="0.3">
      <c r="A153" s="246"/>
      <c r="B153" s="246"/>
      <c r="C153" s="246"/>
      <c r="D153" s="246"/>
      <c r="E153" s="246"/>
      <c r="F153" s="246"/>
      <c r="G153" s="246"/>
      <c r="H153" s="246"/>
      <c r="I153" s="246"/>
      <c r="J153" s="246"/>
      <c r="K153" s="246"/>
    </row>
    <row r="154" spans="1:11" x14ac:dyDescent="0.3">
      <c r="A154" s="246"/>
      <c r="B154" s="246"/>
      <c r="C154" s="246"/>
      <c r="D154" s="246"/>
      <c r="E154" s="246"/>
      <c r="F154" s="246"/>
      <c r="G154" s="246"/>
      <c r="H154" s="246"/>
      <c r="I154" s="246"/>
      <c r="J154" s="246"/>
      <c r="K154" s="246"/>
    </row>
    <row r="155" spans="1:11" x14ac:dyDescent="0.3">
      <c r="A155" s="246"/>
      <c r="B155" s="246"/>
      <c r="C155" s="246"/>
      <c r="D155" s="246"/>
      <c r="E155" s="246"/>
      <c r="F155" s="246"/>
      <c r="G155" s="246"/>
      <c r="H155" s="246"/>
      <c r="I155" s="246"/>
      <c r="J155" s="246"/>
      <c r="K155" s="246"/>
    </row>
    <row r="156" spans="1:11" x14ac:dyDescent="0.3">
      <c r="A156" s="246"/>
      <c r="B156" s="246"/>
      <c r="C156" s="246"/>
      <c r="D156" s="246"/>
      <c r="E156" s="246"/>
      <c r="F156" s="246"/>
      <c r="G156" s="246"/>
      <c r="H156" s="246"/>
      <c r="I156" s="246"/>
      <c r="J156" s="246"/>
      <c r="K156" s="246"/>
    </row>
    <row r="157" spans="1:11" x14ac:dyDescent="0.3">
      <c r="A157" s="246"/>
      <c r="B157" s="246"/>
      <c r="C157" s="246"/>
      <c r="D157" s="246"/>
      <c r="E157" s="246"/>
      <c r="F157" s="246"/>
      <c r="G157" s="246"/>
      <c r="H157" s="246"/>
      <c r="I157" s="246"/>
      <c r="J157" s="246"/>
      <c r="K157" s="246"/>
    </row>
    <row r="158" spans="1:11" x14ac:dyDescent="0.3">
      <c r="A158" s="246"/>
      <c r="B158" s="246"/>
      <c r="C158" s="246"/>
      <c r="D158" s="246"/>
      <c r="E158" s="246"/>
      <c r="F158" s="246"/>
      <c r="G158" s="246"/>
      <c r="H158" s="246"/>
      <c r="I158" s="246"/>
      <c r="J158" s="246"/>
      <c r="K158" s="246"/>
    </row>
    <row r="159" spans="1:11" x14ac:dyDescent="0.3">
      <c r="A159" s="246"/>
      <c r="B159" s="246"/>
      <c r="C159" s="246"/>
      <c r="D159" s="246"/>
      <c r="E159" s="246"/>
      <c r="F159" s="246"/>
      <c r="G159" s="246"/>
      <c r="H159" s="246"/>
      <c r="I159" s="246"/>
      <c r="J159" s="246"/>
      <c r="K159" s="246"/>
    </row>
    <row r="160" spans="1:11" x14ac:dyDescent="0.3">
      <c r="A160" s="246"/>
      <c r="B160" s="246"/>
      <c r="C160" s="246"/>
      <c r="D160" s="246"/>
      <c r="E160" s="246"/>
      <c r="F160" s="246"/>
      <c r="G160" s="246"/>
      <c r="H160" s="246"/>
      <c r="I160" s="246"/>
      <c r="J160" s="246"/>
      <c r="K160" s="246"/>
    </row>
    <row r="161" spans="1:12" x14ac:dyDescent="0.3">
      <c r="A161" s="246"/>
      <c r="B161" s="246"/>
      <c r="C161" s="246"/>
      <c r="D161" s="246"/>
      <c r="E161" s="246"/>
      <c r="F161" s="246"/>
      <c r="G161" s="246"/>
      <c r="H161" s="246"/>
      <c r="I161" s="246"/>
      <c r="J161" s="246"/>
      <c r="K161" s="246"/>
    </row>
    <row r="162" spans="1:12" x14ac:dyDescent="0.3">
      <c r="A162" s="246"/>
      <c r="B162" s="246"/>
      <c r="C162" s="246"/>
      <c r="D162" s="246"/>
      <c r="E162" s="246"/>
      <c r="F162" s="246"/>
      <c r="G162" s="246"/>
      <c r="H162" s="246"/>
      <c r="I162" s="246"/>
      <c r="J162" s="246"/>
      <c r="K162" s="246"/>
    </row>
    <row r="163" spans="1:12" x14ac:dyDescent="0.3">
      <c r="A163" s="246"/>
      <c r="B163" s="246"/>
      <c r="C163" s="246"/>
      <c r="D163" s="246"/>
      <c r="E163" s="246"/>
      <c r="F163" s="246"/>
      <c r="G163" s="246"/>
      <c r="H163" s="246"/>
      <c r="I163" s="246"/>
      <c r="J163" s="246"/>
      <c r="K163" s="246"/>
    </row>
    <row r="164" spans="1:12" x14ac:dyDescent="0.3">
      <c r="A164" s="246" t="s">
        <v>224</v>
      </c>
      <c r="B164" s="246">
        <v>205.77299500000001</v>
      </c>
      <c r="C164" s="246">
        <v>203.78500399999999</v>
      </c>
      <c r="D164" s="246">
        <v>203.17700199999999</v>
      </c>
      <c r="E164" s="246">
        <v>237.16499300000001</v>
      </c>
      <c r="F164" s="246">
        <v>234.79200700000001</v>
      </c>
      <c r="G164" s="246">
        <v>238.824005</v>
      </c>
      <c r="H164" s="246">
        <v>1201.8420410000001</v>
      </c>
      <c r="I164" s="246">
        <v>863.76501499999995</v>
      </c>
      <c r="J164" s="246">
        <v>806.30798300000004</v>
      </c>
      <c r="K164" s="246">
        <v>748.955017</v>
      </c>
    </row>
    <row r="165" spans="1:12" x14ac:dyDescent="0.3">
      <c r="A165" s="246" t="s">
        <v>321</v>
      </c>
      <c r="B165" s="246"/>
      <c r="C165" s="246">
        <v>-1.9879910000000223</v>
      </c>
      <c r="D165" s="246">
        <v>-0.60800199999999904</v>
      </c>
      <c r="E165" s="246">
        <v>33.987991000000022</v>
      </c>
      <c r="F165" s="246">
        <v>-2.3729859999999974</v>
      </c>
      <c r="G165" s="246">
        <v>4.0319979999999873</v>
      </c>
      <c r="H165" s="246">
        <v>963.01803600000017</v>
      </c>
      <c r="I165" s="246">
        <v>-338.07702600000016</v>
      </c>
      <c r="J165" s="246">
        <v>-57.457031999999913</v>
      </c>
      <c r="K165" s="246">
        <v>-57.352966000000038</v>
      </c>
    </row>
    <row r="166" spans="1:12" x14ac:dyDescent="0.3">
      <c r="A166" s="246" t="s">
        <v>225</v>
      </c>
      <c r="B166" s="251">
        <v>0.52083333333333326</v>
      </c>
      <c r="C166" s="251">
        <v>0.60129032258064519</v>
      </c>
      <c r="D166" s="251">
        <v>0.66496869362198874</v>
      </c>
      <c r="E166" s="251">
        <v>0.61817648209743692</v>
      </c>
      <c r="F166" s="251">
        <v>0.57808524173027986</v>
      </c>
      <c r="G166" s="251">
        <v>0.69508485430675626</v>
      </c>
      <c r="H166" s="251">
        <v>1.3068149948583714</v>
      </c>
      <c r="I166" s="251">
        <v>0.68108006042296076</v>
      </c>
      <c r="J166" s="251">
        <v>0.55275648046732384</v>
      </c>
      <c r="K166" s="251">
        <v>0.53556593977154721</v>
      </c>
      <c r="L166" s="251">
        <f>CORREL(C166:K166,C165:K165)</f>
        <v>0.9030080884847439</v>
      </c>
    </row>
    <row r="167" spans="1:12" x14ac:dyDescent="0.3">
      <c r="A167" s="246"/>
      <c r="B167" s="246"/>
      <c r="C167" s="246"/>
      <c r="D167" s="246"/>
      <c r="E167" s="246"/>
      <c r="F167" s="246"/>
      <c r="G167" s="246"/>
      <c r="H167" s="246"/>
      <c r="I167" s="246"/>
      <c r="J167" s="246"/>
      <c r="K167" s="246"/>
    </row>
    <row r="168" spans="1:12" x14ac:dyDescent="0.3">
      <c r="A168" s="246"/>
      <c r="B168" s="246"/>
      <c r="C168" s="246"/>
      <c r="D168" s="246"/>
      <c r="E168" s="246"/>
      <c r="F168" s="246"/>
      <c r="G168" s="246"/>
      <c r="H168" s="246"/>
      <c r="I168" s="246"/>
      <c r="J168" s="246"/>
      <c r="K168" s="246"/>
    </row>
    <row r="169" spans="1:12" x14ac:dyDescent="0.3">
      <c r="A169" s="246"/>
      <c r="B169" s="246"/>
      <c r="C169" s="246"/>
      <c r="D169" s="246"/>
      <c r="E169" s="246"/>
      <c r="F169" s="246"/>
      <c r="G169" s="246"/>
      <c r="H169" s="246"/>
      <c r="I169" s="246"/>
      <c r="J169" s="246"/>
      <c r="K169" s="246"/>
    </row>
    <row r="170" spans="1:12" x14ac:dyDescent="0.3">
      <c r="A170" s="246"/>
      <c r="B170" s="246"/>
      <c r="C170" s="246"/>
      <c r="D170" s="246"/>
      <c r="E170" s="246"/>
      <c r="F170" s="246"/>
      <c r="G170" s="246"/>
      <c r="H170" s="246"/>
      <c r="I170" s="246"/>
      <c r="J170" s="246"/>
      <c r="K170" s="246"/>
    </row>
    <row r="171" spans="1:12" x14ac:dyDescent="0.3">
      <c r="A171" s="246"/>
      <c r="B171" s="246"/>
      <c r="C171" s="246"/>
      <c r="D171" s="246"/>
      <c r="E171" s="246"/>
      <c r="F171" s="246"/>
      <c r="G171" s="246"/>
      <c r="H171" s="246"/>
      <c r="I171" s="246"/>
      <c r="J171" s="246"/>
      <c r="K171" s="246"/>
    </row>
    <row r="172" spans="1:12" x14ac:dyDescent="0.3">
      <c r="A172" s="246"/>
      <c r="B172" s="246"/>
      <c r="C172" s="246"/>
      <c r="D172" s="246"/>
      <c r="E172" s="246"/>
      <c r="F172" s="246"/>
      <c r="G172" s="246"/>
      <c r="H172" s="246"/>
      <c r="I172" s="246"/>
      <c r="J172" s="246"/>
      <c r="K172" s="246"/>
    </row>
    <row r="173" spans="1:12" x14ac:dyDescent="0.3">
      <c r="A173" s="246"/>
      <c r="B173" s="246"/>
      <c r="C173" s="246"/>
      <c r="D173" s="246"/>
      <c r="E173" s="246"/>
      <c r="F173" s="246"/>
      <c r="G173" s="246"/>
      <c r="H173" s="246"/>
      <c r="I173" s="246"/>
      <c r="J173" s="246"/>
      <c r="K173" s="246"/>
    </row>
    <row r="174" spans="1:12" x14ac:dyDescent="0.3">
      <c r="A174" s="246"/>
      <c r="B174" s="246"/>
      <c r="C174" s="246"/>
      <c r="D174" s="246"/>
      <c r="E174" s="246"/>
      <c r="F174" s="246"/>
      <c r="G174" s="246"/>
      <c r="H174" s="246"/>
      <c r="I174" s="246"/>
      <c r="J174" s="246"/>
      <c r="K174" s="246"/>
    </row>
    <row r="175" spans="1:12" x14ac:dyDescent="0.3">
      <c r="A175" s="246" t="s">
        <v>322</v>
      </c>
      <c r="B175" s="246">
        <v>217.608002</v>
      </c>
      <c r="C175" s="246">
        <v>218.04899599999999</v>
      </c>
      <c r="D175" s="246">
        <v>292.52801499999998</v>
      </c>
      <c r="E175" s="246">
        <v>324.50299100000001</v>
      </c>
      <c r="F175" s="246">
        <v>322.02801499999998</v>
      </c>
      <c r="G175" s="246">
        <v>239.93499800000001</v>
      </c>
      <c r="H175" s="246">
        <v>173.17399599999999</v>
      </c>
      <c r="I175" s="246">
        <v>161.253998</v>
      </c>
      <c r="J175" s="246">
        <v>179.85699500000001</v>
      </c>
      <c r="K175" s="246">
        <v>188.63400300000001</v>
      </c>
    </row>
    <row r="176" spans="1:12" x14ac:dyDescent="0.3">
      <c r="A176" s="246" t="s">
        <v>323</v>
      </c>
      <c r="B176" s="246" t="s">
        <v>262</v>
      </c>
      <c r="C176" s="246" t="s">
        <v>262</v>
      </c>
      <c r="D176" s="246" t="s">
        <v>262</v>
      </c>
      <c r="E176" s="246" t="s">
        <v>262</v>
      </c>
      <c r="F176" s="246" t="s">
        <v>262</v>
      </c>
      <c r="G176" s="246" t="s">
        <v>262</v>
      </c>
      <c r="H176" s="246" t="s">
        <v>262</v>
      </c>
      <c r="I176" s="246" t="s">
        <v>262</v>
      </c>
      <c r="J176" s="246" t="s">
        <v>262</v>
      </c>
      <c r="K176" s="246" t="s">
        <v>262</v>
      </c>
    </row>
    <row r="177" spans="1:11" x14ac:dyDescent="0.3">
      <c r="A177" s="246" t="s">
        <v>324</v>
      </c>
      <c r="B177" s="246" t="s">
        <v>262</v>
      </c>
      <c r="C177" s="246" t="s">
        <v>262</v>
      </c>
      <c r="D177" s="246" t="s">
        <v>262</v>
      </c>
      <c r="E177" s="246" t="s">
        <v>262</v>
      </c>
      <c r="F177" s="246" t="s">
        <v>262</v>
      </c>
      <c r="G177" s="246" t="s">
        <v>262</v>
      </c>
      <c r="H177" s="246" t="s">
        <v>262</v>
      </c>
      <c r="I177" s="246" t="s">
        <v>262</v>
      </c>
      <c r="J177" s="246" t="s">
        <v>262</v>
      </c>
      <c r="K177" s="246" t="s">
        <v>262</v>
      </c>
    </row>
    <row r="178" spans="1:11" x14ac:dyDescent="0.3">
      <c r="A178" s="246" t="s">
        <v>325</v>
      </c>
      <c r="B178" s="246" t="s">
        <v>262</v>
      </c>
      <c r="C178" s="246" t="s">
        <v>262</v>
      </c>
      <c r="D178" s="246" t="s">
        <v>262</v>
      </c>
      <c r="E178" s="246" t="s">
        <v>262</v>
      </c>
      <c r="F178" s="246" t="s">
        <v>262</v>
      </c>
      <c r="G178" s="246" t="s">
        <v>262</v>
      </c>
      <c r="H178" s="246" t="s">
        <v>262</v>
      </c>
      <c r="I178" s="246" t="s">
        <v>262</v>
      </c>
      <c r="J178" s="246" t="s">
        <v>262</v>
      </c>
      <c r="K178" s="246" t="s">
        <v>262</v>
      </c>
    </row>
    <row r="179" spans="1:11" x14ac:dyDescent="0.3">
      <c r="A179" s="246" t="s">
        <v>326</v>
      </c>
      <c r="B179" s="246">
        <v>0</v>
      </c>
      <c r="C179" s="246">
        <v>0</v>
      </c>
      <c r="D179" s="246">
        <v>0</v>
      </c>
      <c r="E179" s="246">
        <v>0</v>
      </c>
      <c r="F179" s="246">
        <v>0</v>
      </c>
      <c r="G179" s="246">
        <v>0</v>
      </c>
      <c r="H179" s="246">
        <v>0</v>
      </c>
      <c r="I179" s="246">
        <v>0</v>
      </c>
      <c r="J179" s="246">
        <v>0</v>
      </c>
      <c r="K179" s="246">
        <v>0</v>
      </c>
    </row>
    <row r="180" spans="1:11" x14ac:dyDescent="0.3">
      <c r="A180" s="246" t="s">
        <v>327</v>
      </c>
      <c r="B180" s="246">
        <v>0</v>
      </c>
      <c r="C180" s="246">
        <v>0</v>
      </c>
      <c r="D180" s="246">
        <v>39.904998999999997</v>
      </c>
      <c r="E180" s="246">
        <v>76.077003000000005</v>
      </c>
      <c r="F180" s="246">
        <v>79.130996999999994</v>
      </c>
      <c r="G180" s="246">
        <v>12.887</v>
      </c>
      <c r="H180" s="246">
        <v>9.9689999999999994</v>
      </c>
      <c r="I180" s="246">
        <v>0</v>
      </c>
      <c r="J180" s="246">
        <v>0.33200000000000002</v>
      </c>
      <c r="K180" s="246">
        <v>1.0620000000000001</v>
      </c>
    </row>
    <row r="181" spans="1:11" x14ac:dyDescent="0.3">
      <c r="A181" s="246" t="s">
        <v>328</v>
      </c>
      <c r="B181" s="246">
        <v>216.08599899999999</v>
      </c>
      <c r="C181" s="246">
        <v>215.61199999999999</v>
      </c>
      <c r="D181" s="246">
        <v>250.807999</v>
      </c>
      <c r="E181" s="246">
        <v>246.78999300000001</v>
      </c>
      <c r="F181" s="246">
        <v>243.64700300000001</v>
      </c>
      <c r="G181" s="246">
        <v>229.621002</v>
      </c>
      <c r="H181" s="246">
        <v>175.05600000000001</v>
      </c>
      <c r="I181" s="246">
        <v>172.48199500000001</v>
      </c>
      <c r="J181" s="246">
        <v>185.02799999999999</v>
      </c>
      <c r="K181" s="246">
        <v>194.033997</v>
      </c>
    </row>
    <row r="182" spans="1:11" x14ac:dyDescent="0.3">
      <c r="A182" s="246" t="s">
        <v>329</v>
      </c>
      <c r="B182" s="246">
        <v>1.405</v>
      </c>
      <c r="C182" s="246">
        <v>1.054</v>
      </c>
      <c r="D182" s="246">
        <v>0.79900000000000004</v>
      </c>
      <c r="E182" s="246">
        <v>0.498</v>
      </c>
      <c r="F182" s="246">
        <v>-2.1850000000000001</v>
      </c>
      <c r="G182" s="246">
        <v>-3.76</v>
      </c>
      <c r="H182" s="246">
        <v>-10.795</v>
      </c>
      <c r="I182" s="246">
        <v>-9.8859999999999992</v>
      </c>
      <c r="J182" s="246">
        <v>-5.0979999999999999</v>
      </c>
      <c r="K182" s="246">
        <v>-6.718</v>
      </c>
    </row>
    <row r="183" spans="1:11" x14ac:dyDescent="0.3">
      <c r="A183" s="246" t="s">
        <v>330</v>
      </c>
      <c r="B183" s="246">
        <v>217.49099699999999</v>
      </c>
      <c r="C183" s="246">
        <v>216.666</v>
      </c>
      <c r="D183" s="246">
        <v>291.51199300000002</v>
      </c>
      <c r="E183" s="246">
        <v>323.36498999999998</v>
      </c>
      <c r="F183" s="246">
        <v>320.59298699999999</v>
      </c>
      <c r="G183" s="246">
        <v>238.74800099999999</v>
      </c>
      <c r="H183" s="246">
        <v>174.229996</v>
      </c>
      <c r="I183" s="246">
        <v>162.59599299999999</v>
      </c>
      <c r="J183" s="246">
        <v>180.26199299999999</v>
      </c>
      <c r="K183" s="246">
        <v>188.378006</v>
      </c>
    </row>
    <row r="184" spans="1:11" x14ac:dyDescent="0.3">
      <c r="A184" s="246" t="s">
        <v>331</v>
      </c>
      <c r="B184" s="246">
        <v>0.11700000000000001</v>
      </c>
      <c r="C184" s="246">
        <v>1.383</v>
      </c>
      <c r="D184" s="246">
        <v>1.016</v>
      </c>
      <c r="E184" s="246">
        <v>1.1379999999999999</v>
      </c>
      <c r="F184" s="246">
        <v>1.4350000000000001</v>
      </c>
      <c r="G184" s="246">
        <v>1.1870000000000001</v>
      </c>
      <c r="H184" s="246">
        <v>-1.056</v>
      </c>
      <c r="I184" s="246">
        <v>-1.3420000000000001</v>
      </c>
      <c r="J184" s="246">
        <v>-0.40500000000000003</v>
      </c>
      <c r="K184" s="246">
        <v>0.25600000000000001</v>
      </c>
    </row>
    <row r="192" spans="1:11" x14ac:dyDescent="0.3">
      <c r="A192" s="246" t="s">
        <v>423</v>
      </c>
      <c r="B192" s="271" t="s">
        <v>250</v>
      </c>
      <c r="C192" s="271" t="s">
        <v>251</v>
      </c>
      <c r="D192" s="271" t="s">
        <v>252</v>
      </c>
      <c r="E192" s="271" t="s">
        <v>253</v>
      </c>
      <c r="F192" s="271" t="s">
        <v>254</v>
      </c>
      <c r="G192" s="271" t="s">
        <v>255</v>
      </c>
      <c r="H192" s="271" t="s">
        <v>256</v>
      </c>
      <c r="I192" s="271" t="s">
        <v>257</v>
      </c>
      <c r="J192" s="271" t="s">
        <v>258</v>
      </c>
      <c r="K192" s="271" t="s">
        <v>259</v>
      </c>
    </row>
    <row r="194" spans="1:13" x14ac:dyDescent="0.3">
      <c r="A194" s="270" t="s">
        <v>422</v>
      </c>
      <c r="B194" s="270">
        <v>6.15</v>
      </c>
      <c r="C194" s="270">
        <v>1.92</v>
      </c>
      <c r="D194" s="270">
        <v>-6.24</v>
      </c>
      <c r="E194" s="270">
        <v>0.03</v>
      </c>
      <c r="F194" s="270">
        <v>0.9</v>
      </c>
      <c r="G194" s="270">
        <v>-9.98</v>
      </c>
      <c r="H194" s="270">
        <v>-50.96</v>
      </c>
      <c r="I194" s="270">
        <v>1.53</v>
      </c>
      <c r="J194" s="270">
        <v>15.34</v>
      </c>
      <c r="K194" s="270">
        <v>12.44</v>
      </c>
    </row>
    <row r="195" spans="1:13" s="246" customFormat="1" x14ac:dyDescent="0.3">
      <c r="A195" s="246" t="s">
        <v>317</v>
      </c>
      <c r="B195" s="246">
        <v>217.60798399999993</v>
      </c>
      <c r="C195" s="246">
        <v>218.04899499999991</v>
      </c>
      <c r="D195" s="246">
        <v>292.5279539999998</v>
      </c>
      <c r="E195" s="246">
        <v>324.50301299999995</v>
      </c>
      <c r="F195" s="246">
        <v>322.02797600000002</v>
      </c>
      <c r="G195" s="246">
        <v>239.93501300000011</v>
      </c>
      <c r="H195" s="246">
        <v>173.17395299999993</v>
      </c>
      <c r="I195" s="246">
        <v>161.25401300000067</v>
      </c>
      <c r="J195" s="246">
        <v>179.85699399999976</v>
      </c>
      <c r="K195" s="246">
        <v>188.6339670000001</v>
      </c>
    </row>
    <row r="196" spans="1:13" x14ac:dyDescent="0.3">
      <c r="A196" t="s">
        <v>423</v>
      </c>
      <c r="B196" s="251">
        <f>B194/B195</f>
        <v>2.8261830687241706E-2</v>
      </c>
      <c r="C196" s="251">
        <f t="shared" ref="C196:K196" si="15">C194/C195</f>
        <v>8.8053604649725656E-3</v>
      </c>
      <c r="D196" s="251">
        <f t="shared" si="15"/>
        <v>-2.1331294717905847E-2</v>
      </c>
      <c r="E196" s="251">
        <f t="shared" si="15"/>
        <v>9.2449064563847373E-5</v>
      </c>
      <c r="F196" s="251">
        <f t="shared" si="15"/>
        <v>2.7947882391435456E-3</v>
      </c>
      <c r="G196" s="251">
        <f t="shared" si="15"/>
        <v>-4.1594596283452787E-2</v>
      </c>
      <c r="H196" s="251">
        <f t="shared" si="15"/>
        <v>-0.29427058236639098</v>
      </c>
      <c r="I196" s="251">
        <f t="shared" si="15"/>
        <v>9.4881359634751763E-3</v>
      </c>
      <c r="J196" s="251">
        <f t="shared" si="15"/>
        <v>8.528998321855652E-2</v>
      </c>
      <c r="K196" s="251">
        <f t="shared" si="15"/>
        <v>6.5947825822907036E-2</v>
      </c>
    </row>
    <row r="197" spans="1:13" x14ac:dyDescent="0.3">
      <c r="A197" t="s">
        <v>424</v>
      </c>
      <c r="B197">
        <v>2.93</v>
      </c>
      <c r="C197">
        <v>3.79</v>
      </c>
      <c r="D197">
        <v>3.64</v>
      </c>
      <c r="E197">
        <v>2.62</v>
      </c>
      <c r="F197">
        <v>2.15</v>
      </c>
      <c r="G197">
        <v>2.57</v>
      </c>
      <c r="H197">
        <v>2.0099999999999998</v>
      </c>
      <c r="I197">
        <v>2.09</v>
      </c>
      <c r="J197">
        <v>2.56</v>
      </c>
      <c r="K197">
        <v>2.82</v>
      </c>
    </row>
    <row r="201" spans="1:13" x14ac:dyDescent="0.3">
      <c r="A201" s="275"/>
      <c r="B201" s="275"/>
      <c r="C201" s="275"/>
      <c r="D201" s="275"/>
      <c r="E201" s="275"/>
      <c r="F201" s="275"/>
      <c r="G201" s="275"/>
      <c r="H201" s="275"/>
      <c r="I201" s="275"/>
      <c r="J201" s="275"/>
      <c r="K201" s="275"/>
    </row>
    <row r="202" spans="1:13" x14ac:dyDescent="0.3">
      <c r="A202" s="275"/>
      <c r="B202" s="275"/>
      <c r="C202" s="275"/>
      <c r="D202" s="275"/>
      <c r="E202" s="275"/>
      <c r="F202" s="275"/>
      <c r="G202" s="275"/>
      <c r="H202" s="275"/>
      <c r="I202" s="275"/>
      <c r="J202" s="275"/>
      <c r="K202" s="275"/>
    </row>
    <row r="203" spans="1:13" x14ac:dyDescent="0.3">
      <c r="A203" s="276"/>
      <c r="B203" s="276" t="s">
        <v>425</v>
      </c>
      <c r="C203" s="276" t="s">
        <v>426</v>
      </c>
      <c r="D203" s="276" t="s">
        <v>427</v>
      </c>
      <c r="E203" s="276" t="s">
        <v>428</v>
      </c>
      <c r="F203" s="276" t="s">
        <v>429</v>
      </c>
      <c r="G203" s="276" t="s">
        <v>430</v>
      </c>
      <c r="H203" s="276" t="s">
        <v>431</v>
      </c>
      <c r="I203" s="276" t="s">
        <v>432</v>
      </c>
      <c r="J203" s="276" t="s">
        <v>433</v>
      </c>
      <c r="K203" s="276" t="s">
        <v>434</v>
      </c>
    </row>
    <row r="204" spans="1:13" x14ac:dyDescent="0.3">
      <c r="A204" s="276"/>
      <c r="B204" s="276"/>
      <c r="C204" s="276"/>
      <c r="D204" s="276"/>
      <c r="E204" s="276"/>
      <c r="F204" s="276"/>
      <c r="G204" s="276"/>
      <c r="H204" s="276"/>
      <c r="I204" s="276"/>
      <c r="J204" s="276"/>
      <c r="K204" s="276"/>
    </row>
    <row r="205" spans="1:13" x14ac:dyDescent="0.3">
      <c r="A205" s="276" t="s">
        <v>435</v>
      </c>
      <c r="B205" s="276"/>
      <c r="C205" s="276"/>
      <c r="D205" s="276"/>
      <c r="E205" s="276"/>
      <c r="F205" s="276"/>
      <c r="G205" s="276"/>
      <c r="H205" s="276"/>
      <c r="I205" s="276"/>
      <c r="J205" s="276"/>
      <c r="K205" s="276"/>
    </row>
    <row r="206" spans="1:13" x14ac:dyDescent="0.3">
      <c r="A206" s="277" t="s">
        <v>225</v>
      </c>
      <c r="B206" s="278">
        <v>27.800878000000001</v>
      </c>
      <c r="C206" s="278">
        <v>31.526789000000001</v>
      </c>
      <c r="D206" s="278">
        <v>30.875095999999999</v>
      </c>
      <c r="E206" s="278">
        <v>51.171258000000002</v>
      </c>
      <c r="F206" s="278">
        <v>73.738079999999997</v>
      </c>
      <c r="G206" s="278">
        <v>51.226208999999997</v>
      </c>
      <c r="H206" s="278">
        <v>49.702747000000002</v>
      </c>
      <c r="I206" s="278">
        <v>60.975386999999998</v>
      </c>
      <c r="J206" s="278">
        <v>60.302993000000001</v>
      </c>
      <c r="K206" s="278">
        <v>80.130595</v>
      </c>
      <c r="M206" s="287">
        <f>AVERAGE(B206:E206)</f>
        <v>35.34350525</v>
      </c>
    </row>
    <row r="207" spans="1:13" x14ac:dyDescent="0.3">
      <c r="A207" s="277" t="s">
        <v>436</v>
      </c>
      <c r="B207" s="278">
        <v>13.498087</v>
      </c>
      <c r="C207" s="278">
        <v>21.59562</v>
      </c>
      <c r="D207" s="278">
        <v>21.990328999999999</v>
      </c>
      <c r="E207" s="278">
        <v>25.316980000000001</v>
      </c>
      <c r="F207" s="278">
        <v>28.844526999999999</v>
      </c>
      <c r="G207" s="278">
        <v>30.386277</v>
      </c>
      <c r="H207" s="278">
        <v>34.028773000000001</v>
      </c>
      <c r="I207" s="278">
        <v>33.410043000000002</v>
      </c>
      <c r="J207" s="278">
        <v>36.882823999999999</v>
      </c>
      <c r="K207" s="278">
        <v>34.835580999999998</v>
      </c>
    </row>
    <row r="208" spans="1:13" x14ac:dyDescent="0.3">
      <c r="A208" s="277" t="s">
        <v>437</v>
      </c>
      <c r="B208" s="278">
        <v>41.298965000000003</v>
      </c>
      <c r="C208" s="278">
        <v>53.122408999999998</v>
      </c>
      <c r="D208" s="278">
        <v>52.865425999999999</v>
      </c>
      <c r="E208" s="278">
        <v>76.488237999999996</v>
      </c>
      <c r="F208" s="278">
        <v>102.582607</v>
      </c>
      <c r="G208" s="278">
        <v>81.612486000000004</v>
      </c>
      <c r="H208" s="278">
        <v>83.731520000000003</v>
      </c>
      <c r="I208" s="278">
        <v>94.385429999999999</v>
      </c>
      <c r="J208" s="278">
        <v>97.185816000000003</v>
      </c>
      <c r="K208" s="278">
        <v>114.966176</v>
      </c>
    </row>
    <row r="209" spans="1:11" x14ac:dyDescent="0.3">
      <c r="A209" s="277" t="s">
        <v>438</v>
      </c>
      <c r="B209" s="278">
        <v>44.155245999999998</v>
      </c>
      <c r="C209" s="278">
        <v>37.924985</v>
      </c>
      <c r="D209" s="278">
        <v>36.538176999999997</v>
      </c>
      <c r="E209" s="278">
        <v>17.831564</v>
      </c>
      <c r="F209" s="278">
        <v>-6.3544999999999998</v>
      </c>
      <c r="G209" s="278">
        <v>11.627162999999999</v>
      </c>
      <c r="H209" s="278">
        <v>14.867587</v>
      </c>
      <c r="I209" s="278">
        <v>13.473488</v>
      </c>
      <c r="J209" s="278">
        <v>2.7727240000000002</v>
      </c>
      <c r="K209" s="278">
        <v>-13.69557</v>
      </c>
    </row>
    <row r="210" spans="1:11" x14ac:dyDescent="0.3">
      <c r="A210" s="277" t="s">
        <v>439</v>
      </c>
      <c r="B210" s="278">
        <v>14.730836</v>
      </c>
      <c r="C210" s="278">
        <v>10.719239999999999</v>
      </c>
      <c r="D210" s="278">
        <v>10.514754</v>
      </c>
      <c r="E210" s="278">
        <v>4.3249399999999998</v>
      </c>
      <c r="F210" s="278">
        <v>-0.92235100000000003</v>
      </c>
      <c r="G210" s="278">
        <v>2.5760019999999999</v>
      </c>
      <c r="H210" s="278">
        <v>3.6829429999999999</v>
      </c>
      <c r="I210" s="278">
        <v>3.4905819999999999</v>
      </c>
      <c r="J210" s="278">
        <v>0.19004599999999999</v>
      </c>
      <c r="K210" s="278">
        <v>-5.0678850000000004</v>
      </c>
    </row>
    <row r="211" spans="1:11" x14ac:dyDescent="0.3">
      <c r="A211" s="277" t="s">
        <v>440</v>
      </c>
      <c r="B211" s="278">
        <v>44.254615000000001</v>
      </c>
      <c r="C211" s="278">
        <v>34.010480999999999</v>
      </c>
      <c r="D211" s="278">
        <v>29.722560000000001</v>
      </c>
      <c r="E211" s="278">
        <v>11.413427</v>
      </c>
      <c r="F211" s="278">
        <v>-2.9297200000000001</v>
      </c>
      <c r="G211" s="278">
        <v>9.8248339999999992</v>
      </c>
      <c r="H211" s="278">
        <v>13.694330000000001</v>
      </c>
      <c r="I211" s="278">
        <v>13.508879</v>
      </c>
      <c r="J211" s="278">
        <v>0.698569</v>
      </c>
      <c r="K211" s="278">
        <v>-22.655315999999999</v>
      </c>
    </row>
    <row r="212" spans="1:11" x14ac:dyDescent="0.3">
      <c r="A212" s="277" t="s">
        <v>441</v>
      </c>
      <c r="B212" s="278">
        <v>53.857785</v>
      </c>
      <c r="C212" s="278">
        <v>37.428263000000001</v>
      </c>
      <c r="D212" s="278">
        <v>36.004452000000001</v>
      </c>
      <c r="E212" s="278">
        <v>15.110702</v>
      </c>
      <c r="F212" s="278">
        <v>0.83274099999999995</v>
      </c>
      <c r="G212" s="278">
        <v>10.441960999999999</v>
      </c>
      <c r="H212" s="278">
        <v>12.50653</v>
      </c>
      <c r="I212" s="278">
        <v>3.372385</v>
      </c>
      <c r="J212" s="278">
        <v>3.8482409999999998</v>
      </c>
      <c r="K212" s="278">
        <v>-12.360702</v>
      </c>
    </row>
    <row r="213" spans="1:11" x14ac:dyDescent="0.3">
      <c r="A213" s="277" t="s">
        <v>442</v>
      </c>
      <c r="B213" s="278">
        <v>16.873889999999999</v>
      </c>
      <c r="C213" s="278">
        <v>20.519324999999998</v>
      </c>
      <c r="D213" s="278">
        <v>20.346914999999999</v>
      </c>
      <c r="E213" s="278">
        <v>41.133924999999998</v>
      </c>
      <c r="F213" s="279"/>
      <c r="G213" s="278">
        <v>63.144826000000002</v>
      </c>
      <c r="H213" s="278">
        <v>48.355899000000001</v>
      </c>
      <c r="I213" s="278">
        <v>45.857098000000001</v>
      </c>
      <c r="J213" s="278">
        <v>749.41452000000004</v>
      </c>
      <c r="K213" s="279"/>
    </row>
    <row r="214" spans="1:11" x14ac:dyDescent="0.3">
      <c r="A214" s="276" t="s">
        <v>443</v>
      </c>
      <c r="B214" s="276"/>
      <c r="C214" s="276"/>
      <c r="D214" s="276"/>
      <c r="E214" s="276"/>
      <c r="F214" s="276"/>
      <c r="G214" s="276"/>
      <c r="H214" s="276"/>
      <c r="I214" s="276"/>
      <c r="J214" s="276"/>
      <c r="K214" s="276"/>
    </row>
    <row r="215" spans="1:11" x14ac:dyDescent="0.3">
      <c r="A215" s="277" t="s">
        <v>444</v>
      </c>
      <c r="B215" s="278">
        <v>0.22368499999999999</v>
      </c>
      <c r="C215" s="278">
        <v>0.20725099999999999</v>
      </c>
      <c r="D215" s="278">
        <v>0.24238899999999999</v>
      </c>
      <c r="E215" s="278">
        <v>0.22181400000000001</v>
      </c>
      <c r="F215" s="278">
        <v>0.20882100000000001</v>
      </c>
      <c r="G215" s="278">
        <v>0.21477499999999999</v>
      </c>
      <c r="H215" s="278">
        <v>0.23008400000000001</v>
      </c>
      <c r="I215" s="278">
        <v>0.197737</v>
      </c>
      <c r="J215" s="278">
        <v>0.177124</v>
      </c>
      <c r="K215" s="278">
        <v>0.26669500000000002</v>
      </c>
    </row>
    <row r="216" spans="1:11" x14ac:dyDescent="0.3">
      <c r="A216" s="277" t="s">
        <v>445</v>
      </c>
      <c r="B216" s="278">
        <v>3.4316019999999998</v>
      </c>
      <c r="C216" s="278">
        <v>1.8689199999999999</v>
      </c>
      <c r="D216" s="278">
        <v>1.4225730000000001</v>
      </c>
      <c r="E216" s="278">
        <v>1.5530900000000001</v>
      </c>
      <c r="F216" s="278">
        <v>2.5945800000000001</v>
      </c>
      <c r="G216" s="278">
        <v>2.6675749999999998</v>
      </c>
      <c r="H216" s="278">
        <v>2.1833140000000002</v>
      </c>
      <c r="I216" s="278">
        <v>1.2035359999999999</v>
      </c>
      <c r="J216" s="278">
        <v>1.2533069999999999</v>
      </c>
      <c r="K216" s="278">
        <v>1.891575</v>
      </c>
    </row>
    <row r="217" spans="1:11" x14ac:dyDescent="0.3">
      <c r="A217" s="277" t="s">
        <v>144</v>
      </c>
      <c r="B217" s="278">
        <v>0.56960500000000003</v>
      </c>
      <c r="C217" s="278">
        <v>0.48908600000000002</v>
      </c>
      <c r="D217" s="278">
        <v>0.48923899999999998</v>
      </c>
      <c r="E217" s="278">
        <v>0.41362100000000002</v>
      </c>
      <c r="F217" s="278">
        <v>0.353682</v>
      </c>
      <c r="G217" s="278">
        <v>0.323183</v>
      </c>
      <c r="H217" s="278">
        <v>0.35581099999999999</v>
      </c>
      <c r="I217" s="278">
        <v>0.36629699999999998</v>
      </c>
      <c r="J217" s="278">
        <v>0.42026400000000003</v>
      </c>
      <c r="K217" s="278">
        <v>0.45991300000000002</v>
      </c>
    </row>
    <row r="218" spans="1:11" x14ac:dyDescent="0.3">
      <c r="A218" s="276" t="s">
        <v>446</v>
      </c>
      <c r="B218" s="276"/>
      <c r="C218" s="276"/>
      <c r="D218" s="276"/>
      <c r="E218" s="276"/>
      <c r="F218" s="276"/>
      <c r="G218" s="276"/>
      <c r="H218" s="276"/>
      <c r="I218" s="276"/>
      <c r="J218" s="276"/>
      <c r="K218" s="276"/>
    </row>
    <row r="219" spans="1:11" x14ac:dyDescent="0.3">
      <c r="A219" s="277" t="s">
        <v>447</v>
      </c>
      <c r="B219" s="280">
        <v>354255.68181799998</v>
      </c>
      <c r="C219" s="280">
        <v>291730</v>
      </c>
      <c r="D219" s="280">
        <v>277613.33333300002</v>
      </c>
      <c r="E219" s="280">
        <v>85065.015480000002</v>
      </c>
      <c r="F219" s="280">
        <v>-15639.02439</v>
      </c>
      <c r="G219" s="280">
        <v>39660.215054</v>
      </c>
      <c r="H219" s="280">
        <v>60842.615012000002</v>
      </c>
      <c r="I219" s="280">
        <v>57911.308204000001</v>
      </c>
      <c r="J219" s="280">
        <v>3482.8897339999999</v>
      </c>
      <c r="K219" s="280">
        <v>-93460.101867999998</v>
      </c>
    </row>
    <row r="220" spans="1:11" x14ac:dyDescent="0.3">
      <c r="A220" s="277" t="s">
        <v>448</v>
      </c>
      <c r="B220" s="280">
        <v>829704.54545500001</v>
      </c>
      <c r="C220" s="280">
        <v>821610</v>
      </c>
      <c r="D220" s="280">
        <v>1013911.1111109999</v>
      </c>
      <c r="E220" s="280">
        <v>918365.32507699996</v>
      </c>
      <c r="F220" s="280">
        <v>924346.34146300005</v>
      </c>
      <c r="G220" s="280">
        <v>832124.73118300003</v>
      </c>
      <c r="H220" s="280">
        <v>824997.57869200001</v>
      </c>
      <c r="I220" s="280">
        <v>498924.61197299999</v>
      </c>
      <c r="J220" s="280">
        <v>373292.77566500002</v>
      </c>
      <c r="K220" s="280">
        <v>1045117.147708</v>
      </c>
    </row>
    <row r="221" spans="1:11" x14ac:dyDescent="0.3">
      <c r="A221" s="277" t="s">
        <v>449</v>
      </c>
      <c r="B221" s="280">
        <v>2899460.2272729999</v>
      </c>
      <c r="C221" s="280">
        <v>2891585</v>
      </c>
      <c r="D221" s="280">
        <v>2710155.5555560002</v>
      </c>
      <c r="E221" s="280">
        <v>2045817.3374610001</v>
      </c>
      <c r="F221" s="280">
        <v>1779417.073171</v>
      </c>
      <c r="G221" s="280">
        <v>1510258.064516</v>
      </c>
      <c r="H221" s="280">
        <v>1603610.169492</v>
      </c>
      <c r="I221" s="280">
        <v>1849651.8847010001</v>
      </c>
      <c r="J221" s="280">
        <v>2079391.6349810001</v>
      </c>
      <c r="K221" s="280">
        <v>1831349.7453310001</v>
      </c>
    </row>
    <row r="222" spans="1:11" x14ac:dyDescent="0.3">
      <c r="A222" s="276" t="s">
        <v>450</v>
      </c>
      <c r="B222" s="276"/>
      <c r="C222" s="276"/>
      <c r="D222" s="276"/>
      <c r="E222" s="276"/>
      <c r="F222" s="276"/>
      <c r="G222" s="276"/>
      <c r="H222" s="276"/>
      <c r="I222" s="276"/>
      <c r="J222" s="276"/>
      <c r="K222" s="276"/>
    </row>
    <row r="223" spans="1:11" x14ac:dyDescent="0.3">
      <c r="A223" s="277" t="s">
        <v>451</v>
      </c>
      <c r="B223" s="279"/>
      <c r="C223" s="279"/>
      <c r="D223" s="279"/>
      <c r="E223" s="278">
        <v>362.44316700000002</v>
      </c>
      <c r="F223" s="278">
        <v>278.41468099999997</v>
      </c>
      <c r="G223" s="278">
        <v>3.9118119999999998</v>
      </c>
      <c r="H223" s="278">
        <v>28.417601999999999</v>
      </c>
      <c r="I223" s="278">
        <v>168.89346699999999</v>
      </c>
      <c r="J223" s="278">
        <v>262.10979600000002</v>
      </c>
      <c r="K223" s="278">
        <v>432.23024099999998</v>
      </c>
    </row>
    <row r="224" spans="1:11" x14ac:dyDescent="0.3">
      <c r="A224" s="276" t="s">
        <v>452</v>
      </c>
      <c r="B224" s="276"/>
      <c r="C224" s="276"/>
      <c r="D224" s="276"/>
      <c r="E224" s="276"/>
      <c r="F224" s="276"/>
      <c r="G224" s="276"/>
      <c r="H224" s="276"/>
      <c r="I224" s="276"/>
      <c r="J224" s="276"/>
      <c r="K224" s="276"/>
    </row>
    <row r="225" spans="1:11" x14ac:dyDescent="0.3">
      <c r="A225" s="277" t="s">
        <v>453</v>
      </c>
      <c r="B225" s="278">
        <v>6.7820580000000001</v>
      </c>
      <c r="C225" s="278">
        <v>5.4945370000000002</v>
      </c>
      <c r="D225" s="278">
        <v>6.8589479999999998</v>
      </c>
      <c r="E225" s="278">
        <v>2.7077499999999999</v>
      </c>
      <c r="F225" s="278">
        <v>0.979433</v>
      </c>
      <c r="G225" s="278">
        <v>3.3627850000000001</v>
      </c>
      <c r="H225" s="278">
        <v>3.2546110000000001</v>
      </c>
      <c r="I225" s="278">
        <v>1.5489999999999999</v>
      </c>
      <c r="J225" s="278">
        <v>1.83754</v>
      </c>
      <c r="K225" s="278">
        <v>-2.8461240000000001</v>
      </c>
    </row>
    <row r="226" spans="1:11" x14ac:dyDescent="0.3">
      <c r="A226" s="277" t="s">
        <v>454</v>
      </c>
      <c r="B226" s="278">
        <v>1.1532979999999999</v>
      </c>
      <c r="C226" s="278">
        <v>1.1288</v>
      </c>
      <c r="D226" s="278">
        <v>1.064147</v>
      </c>
      <c r="E226" s="278">
        <v>2.4375520000000002</v>
      </c>
      <c r="F226" s="278">
        <v>69.827779000000007</v>
      </c>
      <c r="G226" s="278">
        <v>3.5235370000000001</v>
      </c>
      <c r="H226" s="278">
        <v>3.2992499999999998</v>
      </c>
      <c r="I226" s="278">
        <v>14.4663</v>
      </c>
      <c r="J226" s="278">
        <v>3.6305960000000002</v>
      </c>
      <c r="K226" s="278">
        <v>-3.6192989999999998</v>
      </c>
    </row>
    <row r="227" spans="1:11" x14ac:dyDescent="0.3">
      <c r="A227" s="277" t="s">
        <v>455</v>
      </c>
      <c r="B227" s="278">
        <v>1.1532979999999999</v>
      </c>
      <c r="C227" s="278">
        <v>1.1288</v>
      </c>
      <c r="D227" s="278">
        <v>1.064147</v>
      </c>
      <c r="E227" s="278">
        <v>2.4513739999999999</v>
      </c>
      <c r="F227" s="278">
        <v>70.137128000000004</v>
      </c>
      <c r="G227" s="278">
        <v>5.5492699999999999</v>
      </c>
      <c r="H227" s="278">
        <v>3.5084050000000002</v>
      </c>
      <c r="I227" s="278">
        <v>14.680927000000001</v>
      </c>
      <c r="J227" s="278">
        <v>3.778213</v>
      </c>
      <c r="K227" s="278">
        <v>-3.6392419999999999</v>
      </c>
    </row>
    <row r="228" spans="1:11" x14ac:dyDescent="0.3">
      <c r="A228" s="276" t="s">
        <v>456</v>
      </c>
      <c r="B228" s="276"/>
      <c r="C228" s="276"/>
      <c r="D228" s="276"/>
      <c r="E228" s="276"/>
      <c r="F228" s="276"/>
      <c r="G228" s="276"/>
      <c r="H228" s="276"/>
      <c r="I228" s="276"/>
      <c r="J228" s="276"/>
      <c r="K228" s="276"/>
    </row>
    <row r="229" spans="1:11" x14ac:dyDescent="0.3">
      <c r="A229" s="277" t="s">
        <v>457</v>
      </c>
      <c r="B229" s="278">
        <v>79.075012000000001</v>
      </c>
      <c r="C229" s="278">
        <v>68.946517999999998</v>
      </c>
      <c r="D229" s="278">
        <v>54.445529000000001</v>
      </c>
      <c r="E229" s="278">
        <v>56.649135000000001</v>
      </c>
      <c r="F229" s="278">
        <v>122.07037</v>
      </c>
      <c r="G229" s="278">
        <v>87.540301999999997</v>
      </c>
      <c r="H229" s="278">
        <v>87.906846000000002</v>
      </c>
      <c r="I229" s="278">
        <v>90.277722999999995</v>
      </c>
      <c r="J229" s="278">
        <v>18.634360999999998</v>
      </c>
      <c r="K229" s="278">
        <v>129.919555</v>
      </c>
    </row>
    <row r="230" spans="1:11" x14ac:dyDescent="0.3">
      <c r="A230" s="277" t="s">
        <v>458</v>
      </c>
      <c r="B230" s="278">
        <v>44.15748</v>
      </c>
      <c r="C230" s="278">
        <v>40.809671000000002</v>
      </c>
      <c r="D230" s="278">
        <v>35.252253000000003</v>
      </c>
      <c r="E230" s="278">
        <v>36.089061999999998</v>
      </c>
      <c r="F230" s="278">
        <v>54.835692000000002</v>
      </c>
      <c r="G230" s="278">
        <v>36.801971999999999</v>
      </c>
      <c r="H230" s="278">
        <v>45.434666</v>
      </c>
      <c r="I230" s="278">
        <v>47.113601000000003</v>
      </c>
      <c r="J230" s="278">
        <v>15.607710000000001</v>
      </c>
      <c r="K230" s="278">
        <v>56.331131999999997</v>
      </c>
    </row>
    <row r="231" spans="1:11" x14ac:dyDescent="0.3">
      <c r="A231" s="277" t="s">
        <v>459</v>
      </c>
      <c r="B231" s="278">
        <v>-103.703565</v>
      </c>
      <c r="C231" s="278">
        <v>-103.42032500000001</v>
      </c>
      <c r="D231" s="278">
        <v>-58.307181999999997</v>
      </c>
      <c r="E231" s="278">
        <v>-58.367317</v>
      </c>
      <c r="F231" s="278">
        <v>-9.7218710000000002</v>
      </c>
      <c r="G231" s="278">
        <v>5.5070240000000004</v>
      </c>
      <c r="H231" s="278">
        <v>-30.436610000000002</v>
      </c>
      <c r="I231" s="278">
        <v>-124.02851800000001</v>
      </c>
      <c r="J231" s="278">
        <v>-175.849582</v>
      </c>
      <c r="K231" s="278">
        <v>-15.593864999999999</v>
      </c>
    </row>
    <row r="232" spans="1:11" x14ac:dyDescent="0.3">
      <c r="A232" s="277" t="s">
        <v>460</v>
      </c>
      <c r="B232" s="278">
        <v>79.075012000000001</v>
      </c>
      <c r="C232" s="278">
        <v>68.946517999999998</v>
      </c>
      <c r="D232" s="278">
        <v>54.445529000000001</v>
      </c>
      <c r="E232" s="278">
        <v>56.970371</v>
      </c>
      <c r="F232" s="278">
        <v>122.611161</v>
      </c>
      <c r="G232" s="278">
        <v>137.86850799999999</v>
      </c>
      <c r="H232" s="278">
        <v>93.479679000000004</v>
      </c>
      <c r="I232" s="278">
        <v>91.617114999999998</v>
      </c>
      <c r="J232" s="278">
        <v>19.392018</v>
      </c>
      <c r="K232" s="278">
        <v>130.63543999999999</v>
      </c>
    </row>
    <row r="233" spans="1:11" x14ac:dyDescent="0.3">
      <c r="A233" s="277" t="s">
        <v>461</v>
      </c>
      <c r="B233" s="278">
        <v>-57.910685000000001</v>
      </c>
      <c r="C233" s="278">
        <v>-61.214830999999997</v>
      </c>
      <c r="D233" s="278">
        <v>-37.752586999999998</v>
      </c>
      <c r="E233" s="278">
        <v>-37.183652000000002</v>
      </c>
      <c r="F233" s="278">
        <v>-4.3671990000000003</v>
      </c>
      <c r="G233" s="278">
        <v>2.3151549999999999</v>
      </c>
      <c r="H233" s="278">
        <v>-15.731166999999999</v>
      </c>
      <c r="I233" s="278">
        <v>-64.727265000000003</v>
      </c>
      <c r="J233" s="278">
        <v>-147.287553</v>
      </c>
      <c r="K233" s="278">
        <v>-6.7612610000000002</v>
      </c>
    </row>
    <row r="234" spans="1:11" x14ac:dyDescent="0.3">
      <c r="A234" s="277" t="s">
        <v>462</v>
      </c>
      <c r="B234" s="278">
        <v>44.15748</v>
      </c>
      <c r="C234" s="278">
        <v>40.809671000000002</v>
      </c>
      <c r="D234" s="278">
        <v>35.252253000000003</v>
      </c>
      <c r="E234" s="278">
        <v>36.293709999999997</v>
      </c>
      <c r="F234" s="278">
        <v>55.078623</v>
      </c>
      <c r="G234" s="278">
        <v>57.959966999999999</v>
      </c>
      <c r="H234" s="278">
        <v>48.314985</v>
      </c>
      <c r="I234" s="278">
        <v>47.812595000000002</v>
      </c>
      <c r="J234" s="278">
        <v>16.242307</v>
      </c>
      <c r="K234" s="278">
        <v>56.641528999999998</v>
      </c>
    </row>
    <row r="235" spans="1:11" x14ac:dyDescent="0.3">
      <c r="A235" s="276" t="s">
        <v>463</v>
      </c>
      <c r="B235" s="276"/>
      <c r="C235" s="276"/>
      <c r="D235" s="276"/>
      <c r="E235" s="276"/>
      <c r="F235" s="276"/>
      <c r="G235" s="276"/>
      <c r="H235" s="276"/>
      <c r="I235" s="276"/>
      <c r="J235" s="276"/>
      <c r="K235" s="276"/>
    </row>
    <row r="236" spans="1:11" x14ac:dyDescent="0.3">
      <c r="A236" s="277" t="s">
        <v>464</v>
      </c>
      <c r="B236" s="278">
        <v>19.654093</v>
      </c>
      <c r="C236" s="278">
        <v>0</v>
      </c>
      <c r="D236" s="278">
        <v>26.326754999999999</v>
      </c>
      <c r="E236" s="278">
        <v>29.005445999999999</v>
      </c>
      <c r="F236" s="278">
        <v>4.137079</v>
      </c>
      <c r="G236" s="278">
        <v>2.6611039999999999</v>
      </c>
      <c r="H236" s="278">
        <v>17.059417</v>
      </c>
      <c r="I236" s="278">
        <v>1.1989460000000001</v>
      </c>
      <c r="J236" s="278">
        <v>0.13875699999999999</v>
      </c>
      <c r="K236" s="278">
        <v>1.051704</v>
      </c>
    </row>
    <row r="237" spans="1:11" x14ac:dyDescent="0.3">
      <c r="A237" s="277" t="s">
        <v>465</v>
      </c>
      <c r="B237" s="278">
        <v>10.899172999999999</v>
      </c>
      <c r="C237" s="278">
        <v>0</v>
      </c>
      <c r="D237" s="278">
        <v>17.174405</v>
      </c>
      <c r="E237" s="278">
        <v>18.277929</v>
      </c>
      <c r="F237" s="278">
        <v>1.8146869999999999</v>
      </c>
      <c r="G237" s="278">
        <v>1.127688</v>
      </c>
      <c r="H237" s="278">
        <v>8.7136619999999994</v>
      </c>
      <c r="I237" s="278">
        <v>0.620896</v>
      </c>
      <c r="J237" s="278">
        <v>0.11604100000000001</v>
      </c>
      <c r="K237" s="278">
        <v>0.48372799999999999</v>
      </c>
    </row>
    <row r="238" spans="1:11" x14ac:dyDescent="0.3">
      <c r="A238" s="277" t="s">
        <v>466</v>
      </c>
      <c r="B238" s="278">
        <v>0</v>
      </c>
      <c r="C238" s="278">
        <v>0.105201</v>
      </c>
      <c r="D238" s="278">
        <v>0.12923699999999999</v>
      </c>
      <c r="E238" s="278">
        <v>0.19944200000000001</v>
      </c>
      <c r="F238" s="278">
        <v>0.30810599999999999</v>
      </c>
      <c r="G238" s="278">
        <v>0.35156999999999999</v>
      </c>
      <c r="H238" s="278">
        <v>0.40227400000000002</v>
      </c>
      <c r="I238" s="278">
        <v>0.37312099999999998</v>
      </c>
      <c r="J238" s="278">
        <v>0.22887399999999999</v>
      </c>
      <c r="K238" s="278">
        <v>0.413887</v>
      </c>
    </row>
    <row r="239" spans="1:11" x14ac:dyDescent="0.3">
      <c r="A239" s="277" t="s">
        <v>467</v>
      </c>
      <c r="B239" s="278">
        <v>0</v>
      </c>
      <c r="C239" s="278">
        <v>6.2040999999999999E-2</v>
      </c>
      <c r="D239" s="278">
        <v>8.4308999999999995E-2</v>
      </c>
      <c r="E239" s="278">
        <v>0.12567900000000001</v>
      </c>
      <c r="F239" s="278">
        <v>0.13514699999999999</v>
      </c>
      <c r="G239" s="278">
        <v>0.14898400000000001</v>
      </c>
      <c r="H239" s="278">
        <v>0.20547499999999999</v>
      </c>
      <c r="I239" s="278">
        <v>0.19322700000000001</v>
      </c>
      <c r="J239" s="278">
        <v>0.19140499999999999</v>
      </c>
      <c r="K239" s="278">
        <v>0.19036600000000001</v>
      </c>
    </row>
    <row r="240" spans="1:11" x14ac:dyDescent="0.3">
      <c r="A240" s="276" t="s">
        <v>468</v>
      </c>
      <c r="B240" s="276"/>
      <c r="C240" s="276"/>
      <c r="D240" s="276"/>
      <c r="E240" s="276"/>
      <c r="F240" s="276"/>
      <c r="G240" s="276"/>
      <c r="H240" s="276"/>
      <c r="I240" s="276"/>
      <c r="J240" s="276"/>
      <c r="K240" s="276"/>
    </row>
    <row r="241" spans="1:12" x14ac:dyDescent="0.3">
      <c r="A241" s="277" t="s">
        <v>469</v>
      </c>
      <c r="B241" s="278">
        <v>9.5026639999999993</v>
      </c>
      <c r="C241" s="278">
        <v>8.0659600000000005</v>
      </c>
      <c r="D241" s="278">
        <v>5.9090829999999999</v>
      </c>
      <c r="E241" s="278">
        <v>13.533061</v>
      </c>
      <c r="F241" s="278">
        <v>-39.909236999999997</v>
      </c>
      <c r="G241" s="278">
        <v>21.751787</v>
      </c>
      <c r="H241" s="278">
        <v>13.796543</v>
      </c>
      <c r="I241" s="278">
        <v>14.989539000000001</v>
      </c>
      <c r="J241" s="278">
        <v>391.28805599999998</v>
      </c>
      <c r="K241" s="278">
        <v>-6.3410960000000003</v>
      </c>
    </row>
    <row r="242" spans="1:12" x14ac:dyDescent="0.3">
      <c r="A242" s="277" t="s">
        <v>470</v>
      </c>
      <c r="B242" s="278">
        <v>3.6714259999999999</v>
      </c>
      <c r="C242" s="278">
        <v>2.4218359999999999</v>
      </c>
      <c r="D242" s="278">
        <v>1.49756</v>
      </c>
      <c r="E242" s="278">
        <v>1.582252</v>
      </c>
      <c r="F242" s="278">
        <v>1.38323</v>
      </c>
      <c r="G242" s="278">
        <v>2.321593</v>
      </c>
      <c r="H242" s="278">
        <v>1.9330419999999999</v>
      </c>
      <c r="I242" s="278">
        <v>2.0401009999999999</v>
      </c>
      <c r="J242" s="278">
        <v>2.621442</v>
      </c>
      <c r="K242" s="278">
        <v>1.9736659999999999</v>
      </c>
    </row>
    <row r="243" spans="1:12" x14ac:dyDescent="0.3">
      <c r="A243" s="277" t="s">
        <v>424</v>
      </c>
      <c r="B243" s="278">
        <v>3.645947</v>
      </c>
      <c r="C243" s="278">
        <v>2.4130020000000001</v>
      </c>
      <c r="D243" s="278">
        <v>1.5088429999999999</v>
      </c>
      <c r="E243" s="278">
        <v>1.5650949999999999</v>
      </c>
      <c r="F243" s="278">
        <v>1.35067</v>
      </c>
      <c r="G243" s="278">
        <v>2.340185</v>
      </c>
      <c r="H243" s="278">
        <v>1.9103509999999999</v>
      </c>
      <c r="I243" s="278">
        <v>2.0244399999999998</v>
      </c>
      <c r="J243" s="278">
        <v>2.6174050000000002</v>
      </c>
      <c r="K243" s="278">
        <v>2.0936669999999999</v>
      </c>
    </row>
    <row r="244" spans="1:12" x14ac:dyDescent="0.3">
      <c r="A244" s="277" t="s">
        <v>471</v>
      </c>
      <c r="B244" s="278">
        <v>3.6714250000000002</v>
      </c>
      <c r="C244" s="278">
        <v>2.4218359999999999</v>
      </c>
      <c r="D244" s="278">
        <v>1.49756</v>
      </c>
      <c r="E244" s="278">
        <v>1.6150690000000001</v>
      </c>
      <c r="F244" s="278">
        <v>1.420696</v>
      </c>
      <c r="G244" s="278">
        <v>2.3841649999999999</v>
      </c>
      <c r="H244" s="278">
        <v>1.9782690000000001</v>
      </c>
      <c r="I244" s="278">
        <v>2.0772339999999998</v>
      </c>
      <c r="J244" s="278">
        <v>2.7107399999999999</v>
      </c>
      <c r="K244" s="278">
        <v>2.1026150000000001</v>
      </c>
    </row>
    <row r="245" spans="1:12" x14ac:dyDescent="0.3">
      <c r="A245" s="277" t="s">
        <v>472</v>
      </c>
      <c r="B245" s="278">
        <v>3.6459459999999999</v>
      </c>
      <c r="C245" s="278">
        <v>2.4130020000000001</v>
      </c>
      <c r="D245" s="278">
        <v>1.5088429999999999</v>
      </c>
      <c r="E245" s="278">
        <v>1.597197</v>
      </c>
      <c r="F245" s="278">
        <v>1.3863700000000001</v>
      </c>
      <c r="G245" s="278">
        <v>2.4037760000000001</v>
      </c>
      <c r="H245" s="278">
        <v>1.95451</v>
      </c>
      <c r="I245" s="278">
        <v>2.0610010000000001</v>
      </c>
      <c r="J245" s="278">
        <v>2.706423</v>
      </c>
      <c r="K245" s="278">
        <v>2.2393519999999998</v>
      </c>
    </row>
    <row r="246" spans="1:12" x14ac:dyDescent="0.3">
      <c r="A246" s="277" t="s">
        <v>473</v>
      </c>
      <c r="B246" s="278">
        <v>11.434251</v>
      </c>
      <c r="C246" s="278">
        <v>5.683935</v>
      </c>
      <c r="D246" s="278">
        <v>8.7570370000000004</v>
      </c>
      <c r="E246" s="278">
        <v>4.8859630000000003</v>
      </c>
      <c r="F246" s="278">
        <v>9.3613890000000008</v>
      </c>
      <c r="G246" s="278">
        <v>14.210888000000001</v>
      </c>
      <c r="H246" s="278">
        <v>8.7216059999999995</v>
      </c>
      <c r="I246" s="278">
        <v>6.9199380000000001</v>
      </c>
      <c r="J246" s="278">
        <v>7.25692</v>
      </c>
      <c r="K246" s="278">
        <v>-616.722668</v>
      </c>
    </row>
    <row r="247" spans="1:12" x14ac:dyDescent="0.3">
      <c r="A247" s="277" t="s">
        <v>474</v>
      </c>
      <c r="B247" s="278">
        <v>1.775701</v>
      </c>
      <c r="C247" s="278">
        <v>2.5439409999999998</v>
      </c>
      <c r="D247" s="278">
        <v>3.4433289999999999</v>
      </c>
      <c r="E247" s="278">
        <v>3.039514</v>
      </c>
      <c r="F247" s="278">
        <v>4.6822739999999996</v>
      </c>
      <c r="G247" s="278">
        <v>2.9029720000000001</v>
      </c>
      <c r="H247" s="278">
        <v>3.5049290000000002</v>
      </c>
      <c r="I247" s="278">
        <v>3.0592730000000001</v>
      </c>
      <c r="J247" s="278">
        <v>1.9152499999999999</v>
      </c>
      <c r="K247" s="278">
        <v>4.0414250000000003</v>
      </c>
    </row>
    <row r="248" spans="1:12" x14ac:dyDescent="0.3">
      <c r="A248" s="277" t="s">
        <v>475</v>
      </c>
      <c r="B248" s="278">
        <v>0.109954</v>
      </c>
      <c r="C248" s="278">
        <v>-1.6869000000000001</v>
      </c>
      <c r="D248" s="278">
        <v>0.59000600000000003</v>
      </c>
      <c r="E248" s="278">
        <v>-0.26779599999999998</v>
      </c>
      <c r="F248" s="278">
        <v>0.31754300000000002</v>
      </c>
      <c r="G248" s="278">
        <v>-5.2823000000000002E-2</v>
      </c>
      <c r="H248" s="278">
        <v>0.33124999999999999</v>
      </c>
      <c r="I248" s="278">
        <v>2.750826</v>
      </c>
      <c r="J248" s="278">
        <v>-4.1679180000000002</v>
      </c>
      <c r="K248" s="278">
        <v>2.0969999999999999E-3</v>
      </c>
    </row>
    <row r="249" spans="1:12" x14ac:dyDescent="0.3">
      <c r="A249" s="277" t="s">
        <v>476</v>
      </c>
      <c r="B249" s="278">
        <v>86.423843000000005</v>
      </c>
      <c r="C249" s="278">
        <v>-4.7815329999999996</v>
      </c>
      <c r="D249" s="278">
        <v>10.015297</v>
      </c>
      <c r="E249" s="278">
        <v>-50.534950000000002</v>
      </c>
      <c r="F249" s="278">
        <v>-125.68129</v>
      </c>
      <c r="G249" s="279"/>
      <c r="H249" s="278">
        <v>41.649895000000001</v>
      </c>
      <c r="I249" s="278">
        <v>5.4491050000000003</v>
      </c>
      <c r="J249" s="278">
        <v>-93.880943000000002</v>
      </c>
      <c r="K249" s="278">
        <v>-3024.3090820000002</v>
      </c>
    </row>
    <row r="250" spans="1:12" x14ac:dyDescent="0.3">
      <c r="A250" s="276" t="s">
        <v>477</v>
      </c>
      <c r="B250" s="276"/>
      <c r="C250" s="276"/>
      <c r="D250" s="276"/>
      <c r="E250" s="276"/>
      <c r="F250" s="276"/>
      <c r="G250" s="276"/>
      <c r="H250" s="276"/>
      <c r="I250" s="276"/>
      <c r="J250" s="276"/>
      <c r="K250" s="276"/>
    </row>
    <row r="251" spans="1:12" x14ac:dyDescent="0.3">
      <c r="A251" s="277" t="s">
        <v>478</v>
      </c>
      <c r="B251" s="281">
        <v>21.061679999999999</v>
      </c>
      <c r="C251" s="281">
        <v>21.555071000000002</v>
      </c>
      <c r="D251" s="281">
        <v>24.879435999999998</v>
      </c>
      <c r="E251" s="281">
        <v>22.406604000000002</v>
      </c>
      <c r="F251" s="281">
        <v>26.246552999999999</v>
      </c>
      <c r="G251" s="281">
        <v>27.032551999999999</v>
      </c>
      <c r="H251" s="281">
        <v>21.128540999999998</v>
      </c>
      <c r="I251" s="281">
        <v>27.074479</v>
      </c>
      <c r="J251" s="281">
        <v>43.974708999999997</v>
      </c>
      <c r="K251" s="281">
        <v>52.577067</v>
      </c>
      <c r="L251" t="s">
        <v>491</v>
      </c>
    </row>
    <row r="252" spans="1:12" x14ac:dyDescent="0.3">
      <c r="A252" s="277" t="s">
        <v>479</v>
      </c>
      <c r="B252" s="278">
        <v>21.676677000000002</v>
      </c>
      <c r="C252" s="278">
        <v>22.765093</v>
      </c>
      <c r="D252" s="278">
        <v>25.595155999999999</v>
      </c>
      <c r="E252" s="278">
        <v>24.167203000000001</v>
      </c>
      <c r="F252" s="278">
        <v>28.730194000000001</v>
      </c>
      <c r="G252" s="278">
        <v>29.306142999999999</v>
      </c>
      <c r="H252" s="278">
        <v>23.711955</v>
      </c>
      <c r="I252" s="278">
        <v>28.273054999999999</v>
      </c>
      <c r="J252" s="278">
        <v>47.217365999999998</v>
      </c>
      <c r="K252" s="278">
        <v>56.659067999999998</v>
      </c>
    </row>
    <row r="253" spans="1:12" x14ac:dyDescent="0.3">
      <c r="A253" s="277" t="s">
        <v>480</v>
      </c>
      <c r="B253" s="278">
        <v>5.6272250000000001</v>
      </c>
      <c r="C253" s="278">
        <v>5.3671879999999996</v>
      </c>
      <c r="D253" s="278">
        <v>6.1862349999999999</v>
      </c>
      <c r="E253" s="278">
        <v>2.8343970000000001</v>
      </c>
      <c r="F253" s="278">
        <v>-0.56536600000000004</v>
      </c>
      <c r="G253" s="278">
        <v>2.3430019999999998</v>
      </c>
      <c r="H253" s="278">
        <v>3.3286090000000002</v>
      </c>
      <c r="I253" s="278">
        <v>0.88157600000000003</v>
      </c>
      <c r="J253" s="278">
        <v>0.128998</v>
      </c>
      <c r="K253" s="278">
        <v>-6.0620620000000001</v>
      </c>
    </row>
    <row r="254" spans="1:12" x14ac:dyDescent="0.3">
      <c r="A254" s="277" t="s">
        <v>481</v>
      </c>
      <c r="B254" s="278">
        <v>5.63</v>
      </c>
      <c r="C254" s="278">
        <v>5.3608000000000002</v>
      </c>
      <c r="D254" s="278">
        <v>5.8977000000000004</v>
      </c>
      <c r="E254" s="278">
        <v>2.9173</v>
      </c>
      <c r="F254" s="278">
        <v>-0.74919999999999998</v>
      </c>
      <c r="G254" s="278">
        <v>2.3359000000000001</v>
      </c>
      <c r="H254" s="278">
        <v>3.3088000000000002</v>
      </c>
      <c r="I254" s="278">
        <v>3.4891000000000001</v>
      </c>
      <c r="J254" s="278">
        <v>0.2135</v>
      </c>
      <c r="K254" s="278">
        <v>-6.2434000000000003</v>
      </c>
    </row>
    <row r="255" spans="1:12" x14ac:dyDescent="0.3">
      <c r="A255" s="277" t="s">
        <v>482</v>
      </c>
      <c r="B255" s="278">
        <v>0.95</v>
      </c>
      <c r="C255" s="278">
        <v>1.1000000000000001</v>
      </c>
      <c r="D255" s="278">
        <v>1.2</v>
      </c>
      <c r="E255" s="278">
        <v>1.2</v>
      </c>
      <c r="F255" s="278">
        <v>1.4</v>
      </c>
      <c r="G255" s="278">
        <v>1.4750000000000001</v>
      </c>
      <c r="H255" s="278">
        <v>1.6</v>
      </c>
      <c r="I255" s="278">
        <v>1.6</v>
      </c>
      <c r="J255" s="278">
        <v>1.6</v>
      </c>
      <c r="K255" s="278">
        <v>1.6</v>
      </c>
    </row>
    <row r="256" spans="1:12" x14ac:dyDescent="0.3">
      <c r="A256" s="277" t="s">
        <v>442</v>
      </c>
      <c r="B256" s="278">
        <v>16.873889999999999</v>
      </c>
      <c r="C256" s="278">
        <v>20.519324999999998</v>
      </c>
      <c r="D256" s="278">
        <v>20.346914999999999</v>
      </c>
      <c r="E256" s="278">
        <v>41.133924999999998</v>
      </c>
      <c r="F256" s="279"/>
      <c r="G256" s="278">
        <v>63.144826000000002</v>
      </c>
      <c r="H256" s="278">
        <v>48.355899000000001</v>
      </c>
      <c r="I256" s="278">
        <v>45.857098000000001</v>
      </c>
      <c r="J256" s="278">
        <v>749.41452000000004</v>
      </c>
      <c r="K256" s="279"/>
    </row>
    <row r="257" spans="1:11" x14ac:dyDescent="0.3">
      <c r="A257" s="277" t="s">
        <v>483</v>
      </c>
      <c r="B257" s="278">
        <v>14.571994999999999</v>
      </c>
      <c r="C257" s="278">
        <v>17.854226000000001</v>
      </c>
      <c r="D257" s="278">
        <v>23.271184000000002</v>
      </c>
      <c r="E257" s="278">
        <v>24.951775999999999</v>
      </c>
      <c r="F257" s="278">
        <v>21.616071000000002</v>
      </c>
      <c r="G257" s="278">
        <v>21.885832000000001</v>
      </c>
      <c r="H257" s="278">
        <v>23.615625000000001</v>
      </c>
      <c r="I257" s="278">
        <v>25.635985999999999</v>
      </c>
      <c r="J257" s="278">
        <v>31.867956</v>
      </c>
      <c r="K257" s="278">
        <v>20.059121000000001</v>
      </c>
    </row>
    <row r="258" spans="1:11" x14ac:dyDescent="0.3">
      <c r="A258" s="277" t="s">
        <v>484</v>
      </c>
      <c r="B258" s="278">
        <v>14.673830000000001</v>
      </c>
      <c r="C258" s="278">
        <v>17.919589999999999</v>
      </c>
      <c r="D258" s="278">
        <v>23.097169999999998</v>
      </c>
      <c r="E258" s="278">
        <v>25.225300000000001</v>
      </c>
      <c r="F258" s="278">
        <v>22.137160000000002</v>
      </c>
      <c r="G258" s="278">
        <v>21.711960000000001</v>
      </c>
      <c r="H258" s="278">
        <v>23.896129999999999</v>
      </c>
      <c r="I258" s="278">
        <v>25.834299999999999</v>
      </c>
      <c r="J258" s="278">
        <v>31.917110000000001</v>
      </c>
      <c r="K258" s="278">
        <v>18.909410000000001</v>
      </c>
    </row>
    <row r="259" spans="1:11" x14ac:dyDescent="0.3">
      <c r="A259" s="277" t="s">
        <v>485</v>
      </c>
      <c r="B259" s="278">
        <v>14.571999</v>
      </c>
      <c r="C259" s="278">
        <v>17.854227000000002</v>
      </c>
      <c r="D259" s="278">
        <v>23.271186</v>
      </c>
      <c r="E259" s="278">
        <v>24.444773000000001</v>
      </c>
      <c r="F259" s="278">
        <v>21.046022000000001</v>
      </c>
      <c r="G259" s="278">
        <v>21.311446</v>
      </c>
      <c r="H259" s="278">
        <v>23.075731999999999</v>
      </c>
      <c r="I259" s="278">
        <v>25.177709</v>
      </c>
      <c r="J259" s="278">
        <v>30.818152999999999</v>
      </c>
      <c r="K259" s="278">
        <v>18.828932000000002</v>
      </c>
    </row>
    <row r="260" spans="1:11" x14ac:dyDescent="0.3">
      <c r="A260" s="277" t="s">
        <v>486</v>
      </c>
      <c r="B260" s="278">
        <v>14.673833999999999</v>
      </c>
      <c r="C260" s="278">
        <v>17.919589999999999</v>
      </c>
      <c r="D260" s="278">
        <v>23.097170999999999</v>
      </c>
      <c r="E260" s="278">
        <v>24.718297</v>
      </c>
      <c r="F260" s="278">
        <v>21.567111000000001</v>
      </c>
      <c r="G260" s="278">
        <v>21.137574000000001</v>
      </c>
      <c r="H260" s="278">
        <v>23.356237</v>
      </c>
      <c r="I260" s="278">
        <v>25.376024000000001</v>
      </c>
      <c r="J260" s="278">
        <v>30.867307</v>
      </c>
      <c r="K260" s="278">
        <v>17.679220999999998</v>
      </c>
    </row>
    <row r="261" spans="1:11" x14ac:dyDescent="0.3">
      <c r="A261" s="277" t="s">
        <v>487</v>
      </c>
      <c r="B261" s="278">
        <v>4.9875920000000002</v>
      </c>
      <c r="C261" s="278">
        <v>7.6461430000000004</v>
      </c>
      <c r="D261" s="278">
        <v>4.0536329999999996</v>
      </c>
      <c r="E261" s="278">
        <v>8.1598450000000007</v>
      </c>
      <c r="F261" s="278">
        <v>3.4673989999999999</v>
      </c>
      <c r="G261" s="278">
        <v>3.8524379999999998</v>
      </c>
      <c r="H261" s="278">
        <v>5.5161160000000002</v>
      </c>
      <c r="I261" s="278">
        <v>8.2218900000000001</v>
      </c>
      <c r="J261" s="278">
        <v>11.898485000000001</v>
      </c>
      <c r="K261" s="278">
        <v>0.65498500000000004</v>
      </c>
    </row>
    <row r="262" spans="1:11" x14ac:dyDescent="0.3">
      <c r="A262" s="277" t="s">
        <v>488</v>
      </c>
      <c r="B262" s="278">
        <v>11.122</v>
      </c>
      <c r="C262" s="278">
        <v>11.694000000000001</v>
      </c>
      <c r="D262" s="278">
        <v>11.355</v>
      </c>
      <c r="E262" s="278">
        <v>10.872999999999999</v>
      </c>
      <c r="F262" s="278">
        <v>8.5579999999999998</v>
      </c>
      <c r="G262" s="278">
        <v>7.8949999999999996</v>
      </c>
      <c r="H262" s="278">
        <v>10.238</v>
      </c>
      <c r="I262" s="278">
        <v>9.6940000000000008</v>
      </c>
      <c r="J262" s="278">
        <v>8.58</v>
      </c>
      <c r="K262" s="278">
        <v>8.8170000000000002</v>
      </c>
    </row>
    <row r="263" spans="1:11" x14ac:dyDescent="0.3">
      <c r="A263" s="277" t="s">
        <v>489</v>
      </c>
      <c r="B263" s="278">
        <v>10.691000000000001</v>
      </c>
      <c r="C263" s="278">
        <v>9.8879999999999999</v>
      </c>
      <c r="D263" s="278">
        <v>9.6020000000000003</v>
      </c>
      <c r="E263" s="278">
        <v>9.3260000000000005</v>
      </c>
      <c r="F263" s="278">
        <v>8.5579999999999998</v>
      </c>
      <c r="G263" s="278">
        <v>7.8780000000000001</v>
      </c>
      <c r="H263" s="278">
        <v>7.58</v>
      </c>
      <c r="I263" s="278">
        <v>7.351</v>
      </c>
      <c r="J263" s="278">
        <v>8.0920000000000005</v>
      </c>
      <c r="K263" s="278">
        <v>8.8170000000000002</v>
      </c>
    </row>
    <row r="264" spans="1:11" x14ac:dyDescent="0.3">
      <c r="A264" s="277" t="s">
        <v>490</v>
      </c>
      <c r="B264" s="278">
        <v>10.939268</v>
      </c>
      <c r="C264" s="278">
        <v>10.189128</v>
      </c>
      <c r="D264" s="278">
        <v>10.292256</v>
      </c>
      <c r="E264" s="278">
        <v>9.6627609999999997</v>
      </c>
      <c r="F264" s="278">
        <v>8.762416</v>
      </c>
      <c r="G264" s="278">
        <v>8.3567300000000007</v>
      </c>
      <c r="H264" s="278">
        <v>7.764564</v>
      </c>
      <c r="I264" s="278">
        <v>7.7856170000000002</v>
      </c>
      <c r="J264" s="278">
        <v>10.131399</v>
      </c>
      <c r="K264" s="278">
        <v>8.5986820000000002</v>
      </c>
    </row>
    <row r="265" spans="1:11" x14ac:dyDescent="0.3">
      <c r="A265" s="275"/>
      <c r="B265" s="275"/>
      <c r="C265" s="275"/>
      <c r="D265" s="275"/>
      <c r="E265" s="275"/>
      <c r="F265" s="275"/>
      <c r="G265" s="275"/>
      <c r="H265" s="275"/>
      <c r="I265" s="275"/>
      <c r="J265" s="275"/>
      <c r="K265" s="275"/>
    </row>
    <row r="266" spans="1:11" x14ac:dyDescent="0.3">
      <c r="A266" s="275"/>
      <c r="B266" s="275"/>
      <c r="C266" s="275"/>
      <c r="D266" s="275"/>
      <c r="E266" s="275"/>
      <c r="F266" s="275"/>
      <c r="G266" s="275"/>
      <c r="H266" s="275"/>
      <c r="I266" s="275"/>
      <c r="J266" s="275"/>
      <c r="K266" s="275"/>
    </row>
    <row r="267" spans="1:11" x14ac:dyDescent="0.3">
      <c r="A267" s="275"/>
      <c r="B267" s="275"/>
      <c r="C267" s="275"/>
      <c r="D267" s="275"/>
      <c r="E267" s="275"/>
      <c r="F267" s="275"/>
      <c r="G267" s="275"/>
      <c r="H267" s="275"/>
      <c r="I267" s="275"/>
      <c r="J267" s="275"/>
      <c r="K267" s="275"/>
    </row>
    <row r="268" spans="1:11" x14ac:dyDescent="0.3">
      <c r="A268" s="275"/>
      <c r="B268" s="275"/>
      <c r="C268" s="275"/>
      <c r="D268" s="275"/>
      <c r="E268" s="275"/>
      <c r="F268" s="275"/>
      <c r="G268" s="275"/>
      <c r="H268" s="275"/>
      <c r="I268" s="275"/>
      <c r="J268" s="275"/>
      <c r="K268" s="275"/>
    </row>
    <row r="269" spans="1:11" x14ac:dyDescent="0.3">
      <c r="A269" s="275"/>
      <c r="B269" s="275"/>
      <c r="C269" s="275"/>
      <c r="D269" s="275"/>
      <c r="E269" s="275"/>
      <c r="F269" s="275"/>
      <c r="G269" s="275"/>
      <c r="H269" s="275"/>
      <c r="I269" s="275"/>
      <c r="J269" s="275"/>
      <c r="K269" s="275"/>
    </row>
    <row r="270" spans="1:11" x14ac:dyDescent="0.3">
      <c r="A270" s="276"/>
      <c r="B270" s="276" t="s">
        <v>425</v>
      </c>
      <c r="C270" s="276" t="s">
        <v>426</v>
      </c>
      <c r="D270" s="276" t="s">
        <v>427</v>
      </c>
      <c r="E270" s="276" t="s">
        <v>428</v>
      </c>
      <c r="F270" s="276" t="s">
        <v>429</v>
      </c>
      <c r="G270" s="276" t="s">
        <v>430</v>
      </c>
      <c r="H270" s="276" t="s">
        <v>431</v>
      </c>
      <c r="I270" s="276" t="s">
        <v>432</v>
      </c>
      <c r="J270" s="276" t="s">
        <v>433</v>
      </c>
      <c r="K270" s="276" t="s">
        <v>434</v>
      </c>
    </row>
    <row r="271" spans="1:11" x14ac:dyDescent="0.3">
      <c r="A271" s="275"/>
      <c r="B271" s="275"/>
      <c r="C271" s="275"/>
      <c r="D271" s="275"/>
      <c r="E271" s="275"/>
      <c r="F271" s="275"/>
      <c r="G271" s="275"/>
      <c r="H271" s="275"/>
      <c r="I271" s="275"/>
      <c r="J271" s="275"/>
      <c r="K271" s="275"/>
    </row>
    <row r="272" spans="1:11" x14ac:dyDescent="0.3">
      <c r="A272" s="277" t="s">
        <v>440</v>
      </c>
      <c r="B272" s="282">
        <v>0.44254615000000003</v>
      </c>
      <c r="C272" s="282">
        <v>0.34010480999999998</v>
      </c>
      <c r="D272" s="282">
        <v>0.29722559999999998</v>
      </c>
      <c r="E272" s="282">
        <v>0.11413427</v>
      </c>
      <c r="F272" s="282">
        <v>-2.9297199999999999E-2</v>
      </c>
      <c r="G272" s="282">
        <v>9.8248340000000003E-2</v>
      </c>
      <c r="H272" s="282">
        <v>0.13694329999999999</v>
      </c>
      <c r="I272" s="282">
        <v>0.13508878999999999</v>
      </c>
      <c r="J272" s="282">
        <v>6.9856900000000001E-3</v>
      </c>
      <c r="K272" s="282"/>
    </row>
    <row r="273" spans="1:11" x14ac:dyDescent="0.3">
      <c r="A273" s="277" t="s">
        <v>442</v>
      </c>
      <c r="B273" s="282">
        <v>0.1687389</v>
      </c>
      <c r="C273" s="282">
        <v>0.20519324999999999</v>
      </c>
      <c r="D273" s="282">
        <v>0.20346914999999999</v>
      </c>
      <c r="E273" s="282">
        <v>0.41133924999999999</v>
      </c>
      <c r="F273" s="282">
        <v>0</v>
      </c>
      <c r="G273" s="282">
        <v>0.63144825999999998</v>
      </c>
      <c r="H273" s="282">
        <v>0.48355899000000002</v>
      </c>
      <c r="I273" s="282">
        <v>0.45857098000000002</v>
      </c>
      <c r="J273" s="282">
        <v>7.4945199999999996</v>
      </c>
      <c r="K273" s="279"/>
    </row>
    <row r="274" spans="1:11" x14ac:dyDescent="0.3">
      <c r="A274" s="275" t="s">
        <v>493</v>
      </c>
      <c r="B274" s="283">
        <f>AVERAGE(B272:I272)</f>
        <v>0.19187425750000001</v>
      </c>
      <c r="C274" s="275"/>
      <c r="D274" s="275"/>
      <c r="E274" s="275"/>
      <c r="F274" s="275"/>
      <c r="G274" s="275"/>
      <c r="H274" s="275"/>
      <c r="I274" s="275"/>
      <c r="J274" s="275"/>
      <c r="K274" s="275"/>
    </row>
    <row r="275" spans="1:11" x14ac:dyDescent="0.3">
      <c r="A275" s="275" t="s">
        <v>494</v>
      </c>
      <c r="B275" s="283">
        <f>AVERAGE(B273:I273)</f>
        <v>0.3202898475</v>
      </c>
      <c r="C275" s="275"/>
      <c r="D275" s="275"/>
      <c r="E275" s="275"/>
      <c r="F275" s="275"/>
      <c r="G275" s="275"/>
      <c r="H275" s="275"/>
      <c r="I275" s="275"/>
      <c r="J275" s="275"/>
      <c r="K275" s="275"/>
    </row>
    <row r="276" spans="1:11" x14ac:dyDescent="0.3">
      <c r="A276" s="275" t="s">
        <v>495</v>
      </c>
      <c r="B276" s="284">
        <f>B274*(1-B275)</f>
        <v>0.13041888082614927</v>
      </c>
      <c r="C276" s="275"/>
      <c r="D276" s="275"/>
      <c r="E276" s="275"/>
      <c r="F276" s="275"/>
      <c r="G276" s="275"/>
      <c r="H276" s="275"/>
      <c r="I276" s="275"/>
      <c r="J276" s="275"/>
      <c r="K276" s="275"/>
    </row>
    <row r="277" spans="1:11" x14ac:dyDescent="0.3">
      <c r="A277" s="275" t="s">
        <v>496</v>
      </c>
      <c r="B277" s="285">
        <f>'API - BASE'!M128</f>
        <v>32.184436478719981</v>
      </c>
      <c r="C277" s="275"/>
      <c r="D277" s="275"/>
      <c r="E277" s="275"/>
      <c r="F277" s="275"/>
      <c r="G277" s="275"/>
      <c r="H277" s="275"/>
      <c r="I277" s="275"/>
      <c r="J277" s="275"/>
      <c r="K277" s="275"/>
    </row>
    <row r="278" spans="1:11" x14ac:dyDescent="0.3">
      <c r="A278" s="275" t="s">
        <v>498</v>
      </c>
      <c r="B278" s="285">
        <f>188.633967 *B274</f>
        <v>36.194002357404507</v>
      </c>
      <c r="C278" s="275"/>
      <c r="D278" s="275"/>
      <c r="E278" s="275"/>
      <c r="F278" s="275"/>
      <c r="G278" s="275"/>
      <c r="H278" s="275"/>
      <c r="I278" s="275"/>
      <c r="J278" s="275"/>
      <c r="K278" s="275"/>
    </row>
    <row r="279" spans="1:11" x14ac:dyDescent="0.3">
      <c r="A279" s="275" t="s">
        <v>500</v>
      </c>
      <c r="B279" s="284">
        <v>0.10440000000000001</v>
      </c>
      <c r="C279" s="275"/>
      <c r="D279" s="275"/>
      <c r="E279" s="275"/>
      <c r="F279" s="275"/>
      <c r="G279" s="275"/>
      <c r="H279" s="275"/>
      <c r="I279" s="275"/>
      <c r="J279" s="275"/>
      <c r="K279" s="275"/>
    </row>
    <row r="280" spans="1:11" x14ac:dyDescent="0.3">
      <c r="A280" s="275" t="s">
        <v>501</v>
      </c>
      <c r="B280" s="286">
        <f>(B278*B275)/(B279-0.01)</f>
        <v>122.80266414690391</v>
      </c>
      <c r="C280" s="275"/>
      <c r="D280" s="275"/>
      <c r="E280" s="275"/>
      <c r="F280" s="275"/>
      <c r="G280" s="275"/>
      <c r="H280" s="275"/>
      <c r="I280" s="275"/>
      <c r="J280" s="275"/>
      <c r="K280" s="275"/>
    </row>
  </sheetData>
  <hyperlinks>
    <hyperlink ref="B193" r:id="rId1" display="fdsup://factset/Doc Viewer Single?float_window=true&amp;positioning_strategy=center_on_screen&amp;_doc_docfn=U2FsdGVkX18H4O+RM1W/YJdPurUjSYLd/nZicdzED1HWQSxf+qGTZXZ1FsVpLQC620a44vIAjFtwiTZ/igOqGssW5UjObSpT3OHHJOXLP7k=&amp;_app_id=central_doc_viewer&amp;center_on_screen=true&amp;width=950&amp;height=800&amp;_dd2=%26f%3Dsld%26c%3Dtrue%26os%3D131878%26oe%3D131883" xr:uid="{00000000-0004-0000-0000-0000C6000000}"/>
    <hyperlink ref="C193" r:id="rId2" display="fdsup://factset/Doc Viewer Single?float_window=true&amp;positioning_strategy=center_on_screen&amp;_doc_docfn=U2FsdGVkX1/Ac5VomWb8MK7omY1Z1eeaJNOmnpAmwZlvhgHRyr00NXLOyP8RyOkMbbAzhV8ICacpkrrM/i8OQQqw5NWstq+D/B/QcPNLEHw=&amp;_app_id=central_doc_viewer&amp;center_on_screen=true&amp;width=950&amp;height=800&amp;_dd2=%26f%3Dsld%26c%3Dtrue%26os%3D142401%26oe%3D142408" xr:uid="{00000000-0004-0000-0000-0000C7000000}"/>
    <hyperlink ref="D193" r:id="rId3" display="fdsup://factset/Doc Viewer Single?float_window=true&amp;positioning_strategy=center_on_screen&amp;_doc_docfn=U2FsdGVkX1/eX1e+2+5VAC8ta5rDfyAQecSGLymTTUKik+rsYw9M2kf+r7ZB6UOklXOtAd3+gVL7H1OT9Vnbvh3xbnlacIXeVUrFgnXXUR8=&amp;_app_id=central_doc_viewer&amp;center_on_screen=true&amp;width=950&amp;height=800&amp;_dd2=%26f%3Dsld%26c%3Dtrue%26os%3D145635%26oe%3D145642" xr:uid="{00000000-0004-0000-0000-0000C8000000}"/>
    <hyperlink ref="E193" r:id="rId4" display="fdsup://factset/Doc Viewer Single?float_window=true&amp;positioning_strategy=center_on_screen&amp;_doc_docfn=U2FsdGVkX18WgFecMiAsWpXZ2vJRu1bhfWcZo0HMB8Rv+XCA0y31AYTBuwapchuRgadUl/SGt++dyKtQ73/S/w==&amp;_app_id=central_doc_viewer&amp;center_on_screen=true&amp;width=950&amp;height=800&amp;_dd2=%26f%3Dsld%26c%3Dtrue%26os%3D167910%26oe%3D167917" xr:uid="{00000000-0004-0000-0000-0000C9000000}"/>
    <hyperlink ref="F193" r:id="rId5" display="fdsup://factset/Doc Viewer Single?float_window=true&amp;positioning_strategy=center_on_screen&amp;_doc_docfn=U2FsdGVkX1/dWI1pamBn9Yjnbx4VuGsQ71/FuLUyaPhyf938a6Ce/30N03E4+qcg2VoZ+pPRHt/PVu4hMEYauwSlHOFNRGxgzjluQp9DWhg=&amp;_app_id=central_doc_viewer&amp;center_on_screen=true&amp;width=950&amp;height=800&amp;_dd2=%26f%3Dsld%26c%3Dtrue%26os%3D132993%26oe%3D133000" xr:uid="{00000000-0004-0000-0000-0000CA000000}"/>
    <hyperlink ref="G193" r:id="rId6" display="fdsup://factset/Doc Viewer Single?float_window=true&amp;positioning_strategy=center_on_screen&amp;_doc_docfn=U2FsdGVkX19P8POAV6a9sVaPYm85JW4MxOmIGBKoSVzWXbbeaaQDz+IKk1PYzwaeUemiEzDu1ZNL5mTsi+6BCGOsBGfx/3S6/xBg4Mc6/UY=&amp;_app_id=central_doc_viewer&amp;center_on_screen=true&amp;width=950&amp;height=800&amp;_dd2=%26f%3Dsld%26c%3Dtrue%26os%3D144373%26oe%3D144380" xr:uid="{00000000-0004-0000-0000-0000CB000000}"/>
    <hyperlink ref="H193" r:id="rId7" display="fdsup://factset/Doc Viewer Single?float_window=true&amp;positioning_strategy=center_on_screen&amp;_doc_docfn=U2FsdGVkX1+GU4a3c8W9UhFgPImT4oKRQi2yZu4e4CRNv2uueJjlnwWjK/XQPVGGOzMai7sZyXP5vNgHdNFHdGAyKkL89WFgbJD71bS+rFs=&amp;_app_id=central_doc_viewer&amp;center_on_screen=true&amp;width=950&amp;height=800&amp;_dd2=%26f%3Dsld%26c%3Dtrue%26os%3D145347%26oe%3D145354" xr:uid="{00000000-0004-0000-0000-0000CC000000}"/>
    <hyperlink ref="I193" r:id="rId8" display="fdsup://factset/Doc Viewer Single?float_window=true&amp;positioning_strategy=center_on_screen&amp;_doc_docfn=U2FsdGVkX19G7h4+BysIfG3kFgzqfrjJ4/ZBIm7a/QyCnG4AOJE14Sv8j25h0gSITYjs63ihjW/c8HH52UQ0Kg==&amp;_app_id=central_doc_viewer&amp;center_on_screen=true&amp;width=950&amp;height=800&amp;_dd2=%26f%3Dsld%26c%3Dtrue%26os%3D167492%26oe%3D167499" xr:uid="{00000000-0004-0000-0000-0000CD000000}"/>
    <hyperlink ref="J193" r:id="rId9" display="fdsup://factset/Doc Viewer Single?float_window=true&amp;positioning_strategy=center_on_screen&amp;_doc_docfn=U2FsdGVkX18/fkuBxxaFdjTAXp/OTMvJJE9So7XEG31UlceMPtb918KqoKPZC2emyrv1/0Af919Ba6vu0GJjcUOtYYVm5ekFf7OHisVssts=&amp;_app_id=central_doc_viewer&amp;center_on_screen=true&amp;width=950&amp;height=800&amp;_dd2=%26f%3Dsld%26c%3Dtrue%26os%3D132705%26oe%3D132712" xr:uid="{00000000-0004-0000-0000-0000CE000000}"/>
    <hyperlink ref="K193" r:id="rId10" display="fdsup://factset/Doc Viewer Single?float_window=true&amp;positioning_strategy=center_on_screen&amp;_doc_docfn=U2FsdGVkX18snPiS0Ar1XcbEH1UnlZ6pKgAC6tTQGy8E+OEhB2fz8D2vCIiuEW3u+oQEhDGqlqzAzeZrYV4F07ZZSOrhTC/h+WmS6hKQ8GE=&amp;_app_id=central_doc_viewer&amp;center_on_screen=true&amp;width=950&amp;height=800&amp;_dd2=%26f%3Dsld%26c%3Dtrue%26os%3D144085%26oe%3D144092" xr:uid="{00000000-0004-0000-0000-0000CF000000}"/>
    <hyperlink ref="B195" r:id="rId11" display="fdsup://factset/Doc Viewer Single?float_window=true&amp;positioning_strategy=center_on_screen&amp;_doc_docfn=U2FsdGVkX19iL8xGNOkcE+Taxgy1L1GBszkVp8qdCfXrMOc7IRfuO8jtn1amJnUSo0PK2bmuD+hff9q4y3P5m139z3dklqubyvw3EfyA484=&amp;_app_id=central_doc_viewer&amp;center_on_screen=true&amp;width=950&amp;height=800&amp;_dd2=%26f%3Dsld%26c%3Dtrue%26os%3D132994%26oe%3D133001" xr:uid="{00000000-0004-0000-0000-0000DA000000}"/>
    <hyperlink ref="C195" r:id="rId12" display="fdsup://factset/Doc Viewer Single?float_window=true&amp;positioning_strategy=center_on_screen&amp;_doc_docfn=U2FsdGVkX19pYw71G/6XPoc+EmlOeXDRt4EEv/+J1iFLtKBAKMNhWPX+GiV9m1fIhD776QUsqifHQHaUb0Or8n8TB30VAqRcSW7w/hgEZDM=&amp;_app_id=central_doc_viewer&amp;center_on_screen=true&amp;width=950&amp;height=800&amp;_dd2=%26f%3Dsld%26c%3Dtrue%26os%3D144488%26oe%3D144495" xr:uid="{00000000-0004-0000-0000-0000DB000000}"/>
    <hyperlink ref="D195" r:id="rId13" display="fdsup://factset/Doc Viewer Single?float_window=true&amp;positioning_strategy=center_on_screen&amp;_doc_docfn=U2FsdGVkX1+jzyI211XXUB2s7u+zZg51D3N4Zp0T47O3NH6BI41w3V5QNOGTMK9epqPhntLdBOFGCQMarI5G7i/mVOVewQ5raMqqLO1c+6Q=&amp;_app_id=central_doc_viewer&amp;center_on_screen=true&amp;width=950&amp;height=800&amp;_dd2=%26f%3Dsld%26c%3Dtrue%26os%3D147926%26oe%3D147935" xr:uid="{00000000-0004-0000-0000-0000DC000000}"/>
    <hyperlink ref="E195" r:id="rId14" display="fdsup://factset/Doc Viewer Single?float_window=true&amp;positioning_strategy=center_on_screen&amp;_doc_docfn=U2FsdGVkX1+kRXwlKFhjjUp0A4W0sPmYUCmQQgrLaiTVIuG3TEbRHHfdO72JR8aKSXxeuf+ShQp2HfgppS05mg==&amp;_app_id=central_doc_viewer&amp;center_on_screen=true&amp;width=950&amp;height=800&amp;_dd2=%26f%3Dsld%26c%3Dtrue%26os%3D172905%26oe%3D172909" xr:uid="{00000000-0004-0000-0000-0000DD000000}"/>
    <hyperlink ref="F195" r:id="rId15" display="fdsup://factset/Doc Viewer Single?float_window=true&amp;positioning_strategy=center_on_screen&amp;_doc_docfn=U2FsdGVkX1+dVvdxT3DzIEOnZ4snHCRd+j0k7rGBqboyF0dsK1Wy+J4iTX+A5BCDhkwpcTL/bYlPZDh47OhUR5pfqtGZrvjhWLqbA1nnaJs=&amp;_app_id=central_doc_viewer&amp;center_on_screen=true&amp;width=950&amp;height=800&amp;_dd2=%26f%3Dsld%26c%3Dtrue%26os%3D134326%26oe%3D134331" xr:uid="{00000000-0004-0000-0000-0000DE000000}"/>
    <hyperlink ref="G195" r:id="rId16" display="fdsup://factset/Doc Viewer Single?float_window=true&amp;positioning_strategy=center_on_screen&amp;_doc_docfn=U2FsdGVkX1+gJQ+JiVEAR9Xkqr6z1IH3Mn2fVxYJJE4S0kfupuNqNhJYpmmhA9DZ4I4O++Un4WuqYElTInBFOsKVvynlwij44mqhAuM1lCQ=&amp;_app_id=central_doc_viewer&amp;center_on_screen=true&amp;width=950&amp;height=800&amp;_dd2=%26f%3Dsld%26c%3Dtrue%26os%3D146865%26oe%3D146874" xr:uid="{00000000-0004-0000-0000-0000DF000000}"/>
    <hyperlink ref="H195" r:id="rId17" display="fdsup://factset/Doc Viewer Single?float_window=true&amp;positioning_strategy=center_on_screen&amp;_doc_docfn=U2FsdGVkX19J4kt8Tz4/bcof64RByO74RFFWcZQXf+nK3RMKVD0Yl2/U6kc1sl37TSQLTPk9B7oHuh9+iSbNblmFvEd/UB5yZL2V6A8+0ss=&amp;_app_id=central_doc_viewer&amp;center_on_screen=true&amp;width=950&amp;height=800&amp;_dd2=%26f%3Dsld%26c%3Dtrue%26os%3D147681%26oe%3D147691" xr:uid="{00000000-0004-0000-0000-0000E0000000}"/>
    <hyperlink ref="I195" r:id="rId18" display="fdsup://factset/Doc Viewer Single?float_window=true&amp;positioning_strategy=center_on_screen&amp;_doc_docfn=U2FsdGVkX191BZHIBztSFG47QQlDtHbedlW3KySpydGt76xq5DCIA6XHgospwLDIJL24kaG4lIo9c9jRmsmvuQ==&amp;_app_id=central_doc_viewer&amp;center_on_screen=true&amp;width=950&amp;height=800&amp;_dd2=%26f%3Dsld%26c%3Dtrue%26os%3D172482%26oe%3D172489" xr:uid="{00000000-0004-0000-0000-0000E1000000}"/>
    <hyperlink ref="J195" r:id="rId19" display="fdsup://factset/Doc Viewer Single?float_window=true&amp;positioning_strategy=center_on_screen&amp;_doc_docfn=U2FsdGVkX1+FORxpsvoe5P/gwwQfsuYMbO1OjvCElHL7zkAYipx0MA8rw/8A4+DKAvPJqqhV+B9pmQTzOTfE+8KZ3mE4dcteWROo2MnCcwU=&amp;_app_id=central_doc_viewer&amp;center_on_screen=true&amp;width=950&amp;height=800&amp;_dd2=%26f%3Dsld%26c%3Dtrue%26os%3D134084%26oe%3D134092" xr:uid="{00000000-0004-0000-0000-0000E2000000}"/>
    <hyperlink ref="K195" r:id="rId20" display="fdsup://factset/Doc Viewer Single?float_window=true&amp;positioning_strategy=center_on_screen&amp;_doc_docfn=U2FsdGVkX1+CdDQKYUUAuvR7f2zRjVEAxt+gbyFkIvH1WV+gDBRW3aKFUoB5K+mqq/OcubzttIJILFpXyp1oChomNhCQHz5bHMR2o798Ttg=&amp;_app_id=central_doc_viewer&amp;center_on_screen=true&amp;width=950&amp;height=800&amp;_dd2=%26f%3Dsld%26c%3Dtrue%26os%3D146622%26oe%3D146630" xr:uid="{00000000-0004-0000-0000-0000E3000000}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6D008D-2B4B-4C5A-BAD7-2B6B143D95BF}">
  <dimension ref="A1:X84"/>
  <sheetViews>
    <sheetView workbookViewId="0">
      <pane xSplit="4" ySplit="7" topLeftCell="E8" activePane="bottomRight" state="frozen"/>
      <selection pane="topRight" activeCell="E1" sqref="E1"/>
      <selection pane="bottomLeft" activeCell="A8" sqref="A8"/>
      <selection pane="bottomRight" activeCell="E8" sqref="E8"/>
    </sheetView>
  </sheetViews>
  <sheetFormatPr defaultColWidth="9" defaultRowHeight="16.5" outlineLevelCol="1" x14ac:dyDescent="0.3"/>
  <cols>
    <col min="1" max="1" width="57.42578125" bestFit="1" customWidth="1"/>
    <col min="2" max="2" width="15.42578125" bestFit="1" customWidth="1"/>
    <col min="3" max="4" width="4.140625" customWidth="1"/>
    <col min="5" max="5" width="10.5703125" customWidth="1"/>
    <col min="6" max="6" width="10.42578125" bestFit="1" customWidth="1"/>
    <col min="7" max="11" width="10.5703125" customWidth="1"/>
    <col min="12" max="12" width="11.140625" customWidth="1"/>
    <col min="13" max="15" width="10.5703125" customWidth="1"/>
    <col min="20" max="20" width="22.140625" customWidth="1" outlineLevel="1"/>
    <col min="21" max="21" width="13.42578125" customWidth="1" outlineLevel="1"/>
    <col min="22" max="22" width="54.85546875" customWidth="1" outlineLevel="1"/>
  </cols>
  <sheetData>
    <row r="1" spans="1:24" s="3" customFormat="1" ht="33" x14ac:dyDescent="0.3">
      <c r="A1" s="62" t="str">
        <f>'API - BASE'!ALLFINSTAT_RWIdentifier</f>
        <v>HCI</v>
      </c>
      <c r="D1" s="2"/>
      <c r="E1" s="4">
        <v>1</v>
      </c>
      <c r="F1" s="5">
        <v>1</v>
      </c>
      <c r="G1" s="4">
        <v>2</v>
      </c>
      <c r="H1" s="74" t="str">
        <f>'API - BASE'!E1</f>
        <v>LOCAL</v>
      </c>
      <c r="I1" s="6" t="s">
        <v>38</v>
      </c>
      <c r="J1" s="9" t="s">
        <v>332</v>
      </c>
      <c r="K1" s="6"/>
      <c r="L1" s="6"/>
      <c r="M1" s="7"/>
      <c r="N1" s="6"/>
      <c r="O1" s="6"/>
      <c r="P1" s="6"/>
      <c r="Q1" s="6"/>
      <c r="R1" s="6"/>
      <c r="S1" s="6"/>
      <c r="T1" s="8" t="s">
        <v>333</v>
      </c>
      <c r="V1" s="10" t="s">
        <v>26</v>
      </c>
    </row>
    <row r="2" spans="1:24" s="12" customFormat="1" ht="38.25" x14ac:dyDescent="0.3">
      <c r="A2" s="53"/>
      <c r="D2" s="11"/>
      <c r="E2" s="13">
        <f>CHOOSE(E1,C6,D6)</f>
        <v>0</v>
      </c>
      <c r="F2" s="14" t="str">
        <f>CHOOSE(F1,U3,V3)</f>
        <v>Includes restatements</v>
      </c>
      <c r="G2" s="13" t="str">
        <f>CHOOSE(G1,U2,V2)</f>
        <v>Median</v>
      </c>
      <c r="H2" s="13" t="s">
        <v>17</v>
      </c>
      <c r="I2" s="66" t="s">
        <v>23</v>
      </c>
      <c r="J2" s="67" t="s">
        <v>334</v>
      </c>
      <c r="K2" s="68"/>
      <c r="L2" s="68"/>
      <c r="M2" s="15" t="s">
        <v>30</v>
      </c>
      <c r="T2" s="16"/>
      <c r="U2" s="17" t="s">
        <v>31</v>
      </c>
      <c r="V2" s="17" t="s">
        <v>32</v>
      </c>
    </row>
    <row r="3" spans="1:24" s="3" customFormat="1" x14ac:dyDescent="0.3">
      <c r="A3" s="18" t="s">
        <v>335</v>
      </c>
      <c r="B3" s="19"/>
      <c r="C3" s="19"/>
      <c r="D3" s="19"/>
      <c r="E3" s="20"/>
      <c r="F3" s="6"/>
      <c r="G3" s="21"/>
      <c r="H3" s="6"/>
      <c r="I3" s="6"/>
      <c r="J3" s="9"/>
      <c r="L3" s="6"/>
      <c r="M3" s="6"/>
      <c r="N3" s="6"/>
      <c r="O3" s="6"/>
      <c r="P3" s="6"/>
      <c r="Q3" s="6"/>
      <c r="R3" s="6"/>
      <c r="S3" s="6"/>
      <c r="T3" s="22"/>
      <c r="U3" s="23" t="s">
        <v>10</v>
      </c>
      <c r="V3" s="23" t="s">
        <v>11</v>
      </c>
    </row>
    <row r="4" spans="1:24" s="3" customFormat="1" x14ac:dyDescent="0.3">
      <c r="A4" s="24" t="str">
        <f>"Financial Statements Summary - "&amp; _xll.FDSC("-",ALLFINSTAT_RWIdentifier,"FG_COMPANY_NAME")&amp;" ("&amp;UPPER(ALLFINSTAT_RWIdentifier)&amp;")"</f>
        <v>Financial Statements Summary - HCI Group, Inc. (HCI)</v>
      </c>
      <c r="B4" s="25"/>
      <c r="C4" s="25"/>
      <c r="D4" s="25"/>
      <c r="E4" s="19"/>
      <c r="F4" s="19"/>
      <c r="G4" s="19"/>
      <c r="H4" s="19"/>
      <c r="I4" s="6"/>
      <c r="J4" s="6"/>
      <c r="M4" s="6"/>
      <c r="N4" s="6"/>
      <c r="O4" s="6"/>
      <c r="P4" s="6"/>
      <c r="Q4" s="6"/>
      <c r="R4" s="6"/>
      <c r="S4" s="6"/>
      <c r="T4" s="22"/>
      <c r="U4" s="23" t="s">
        <v>40</v>
      </c>
      <c r="V4" s="23" t="s">
        <v>41</v>
      </c>
    </row>
    <row r="5" spans="1:24" s="29" customFormat="1" x14ac:dyDescent="0.3">
      <c r="A5" s="26"/>
      <c r="B5" s="26"/>
      <c r="C5" s="26"/>
      <c r="D5" s="26"/>
      <c r="E5" s="27"/>
      <c r="F5" s="27"/>
      <c r="G5" s="27"/>
      <c r="H5" s="27"/>
      <c r="I5" s="27"/>
      <c r="J5" s="27"/>
      <c r="K5" s="27"/>
      <c r="L5" s="27"/>
      <c r="M5" s="27"/>
      <c r="N5" s="27"/>
      <c r="O5" s="27"/>
      <c r="P5" s="27"/>
      <c r="Q5" s="27"/>
      <c r="R5" s="27"/>
      <c r="S5" s="27"/>
      <c r="T5" s="28"/>
    </row>
    <row r="6" spans="1:24" s="3" customFormat="1" x14ac:dyDescent="0.3">
      <c r="A6" s="30" t="s">
        <v>42</v>
      </c>
      <c r="B6" s="31" t="s">
        <v>336</v>
      </c>
      <c r="C6" s="31"/>
      <c r="D6" s="31"/>
      <c r="E6" s="32" t="s">
        <v>43</v>
      </c>
      <c r="F6" s="32" t="s">
        <v>44</v>
      </c>
      <c r="G6" s="32" t="s">
        <v>45</v>
      </c>
      <c r="H6" s="32" t="s">
        <v>46</v>
      </c>
      <c r="I6" s="32" t="s">
        <v>47</v>
      </c>
      <c r="J6" s="32" t="s">
        <v>48</v>
      </c>
      <c r="K6" s="32" t="s">
        <v>49</v>
      </c>
      <c r="L6" s="32" t="s">
        <v>50</v>
      </c>
      <c r="M6" s="32" t="s">
        <v>51</v>
      </c>
      <c r="N6" s="32" t="s">
        <v>52</v>
      </c>
      <c r="O6" s="32" t="s">
        <v>53</v>
      </c>
      <c r="P6" s="32"/>
      <c r="Q6" s="32"/>
      <c r="R6" s="32"/>
      <c r="S6" s="32"/>
      <c r="T6" s="33"/>
    </row>
    <row r="7" spans="1:24" s="3" customFormat="1" x14ac:dyDescent="0.3">
      <c r="A7" s="3" t="s">
        <v>61</v>
      </c>
      <c r="E7" s="48" t="str" cm="1">
        <f t="array" ref="E7">_xll.FDSRC("-",$A$1,"CONVERT_DATE(FF_FISCAL_DATE(ANN_R,"&amp;E$6&amp;","&amp;E$6&amp;",,,"""",""DATEJ""),""MM/YYYY"")")</f>
        <v>12/2012</v>
      </c>
      <c r="F7" s="48" t="str" cm="1">
        <f t="array" ref="F7">_xll.FDSRC("-",$A$1,"CONVERT_DATE(FF_FISCAL_DATE(ANN_R,"&amp;F$6&amp;","&amp;F$6&amp;",,,"""",""DATEJ""),""MM/YYYY"")")</f>
        <v>12/2013</v>
      </c>
      <c r="G7" s="48" t="str" cm="1">
        <f t="array" ref="G7">_xll.FDSRC("-",$A$1,"CONVERT_DATE(FF_FISCAL_DATE(ANN_R,"&amp;G$6&amp;","&amp;G$6&amp;",,,"""",""DATEJ""),""MM/YYYY"")")</f>
        <v>12/2014</v>
      </c>
      <c r="H7" s="48" t="str" cm="1">
        <f t="array" ref="H7">_xll.FDSRC("-",$A$1,"CONVERT_DATE(FF_FISCAL_DATE(ANN_R,"&amp;H$6&amp;","&amp;H$6&amp;",,,"""",""DATEJ""),""MM/YYYY"")")</f>
        <v>12/2015</v>
      </c>
      <c r="I7" s="48" t="str" cm="1">
        <f t="array" ref="I7">_xll.FDSRC("-",$A$1,"CONVERT_DATE(FF_FISCAL_DATE(ANN_R,"&amp;I$6&amp;","&amp;I$6&amp;",,,"""",""DATEJ""),""MM/YYYY"")")</f>
        <v>12/2016</v>
      </c>
      <c r="J7" s="48" t="str" cm="1">
        <f t="array" ref="J7">_xll.FDSRC("-",$A$1,"CONVERT_DATE(FF_FISCAL_DATE(ANN_R,"&amp;J$6&amp;","&amp;J$6&amp;",,,"""",""DATEJ""),""MM/YYYY"")")</f>
        <v>12/2017</v>
      </c>
      <c r="K7" s="48" t="str" cm="1">
        <f t="array" ref="K7">_xll.FDSRC("-",$A$1,"CONVERT_DATE(FF_FISCAL_DATE(ANN_R,"&amp;K$6&amp;","&amp;K$6&amp;",,,"""",""DATEJ""),""MM/YYYY"")")</f>
        <v>12/2018</v>
      </c>
      <c r="L7" s="48" t="str" cm="1">
        <f t="array" ref="L7">_xll.FDSRC("-",$A$1,"CONVERT_DATE(FF_FISCAL_DATE(ANN_R,"&amp;L$6&amp;","&amp;L$6&amp;",,,"""",""DATEJ""),""MM/YYYY"")")</f>
        <v>12/2019</v>
      </c>
      <c r="M7" s="48" t="str" cm="1">
        <f t="array" ref="M7">_xll.FDSRC("-",$A$1,"CONVERT_DATE(FF_FISCAL_DATE(ANN_R,"&amp;M$6&amp;","&amp;M$6&amp;",,,"""",""DATEJ""),""MM/YYYY"")")</f>
        <v>12/2020</v>
      </c>
      <c r="N7" s="48" t="str" cm="1">
        <f t="array" ref="N7">_xll.FDSRC("-",$A$1,"CONVERT_DATE(FF_FISCAL_DATE(ANN_R,"&amp;N$6&amp;","&amp;N$6&amp;",,,"""",""DATEJ""),""MM/YYYY"")")</f>
        <v>12/2021</v>
      </c>
      <c r="O7" s="48" t="str" cm="1">
        <f t="array" ref="O7">_xll.FDSRC("-",$A$1,"CONVERT_DATE(FF_FISCAL_DATE(ANN_R,"&amp;O$6&amp;","&amp;O$6&amp;",,,"""",""DATEJ""),""MM/YYYY"")")</f>
        <v>12/2022</v>
      </c>
      <c r="P7" s="34"/>
      <c r="Q7" s="34"/>
      <c r="R7" s="34"/>
      <c r="S7" s="34"/>
      <c r="T7" s="35"/>
    </row>
    <row r="9" spans="1:24" x14ac:dyDescent="0.3">
      <c r="A9" s="59" t="s">
        <v>337</v>
      </c>
    </row>
    <row r="10" spans="1:24" s="3" customFormat="1" x14ac:dyDescent="0.3">
      <c r="A10" s="36" t="s">
        <v>338</v>
      </c>
      <c r="P10"/>
      <c r="Q10"/>
      <c r="R10"/>
      <c r="S10"/>
      <c r="T10"/>
      <c r="U10" s="38"/>
      <c r="V10" s="38"/>
      <c r="W10" s="38"/>
      <c r="X10" s="39"/>
    </row>
    <row r="11" spans="1:24" x14ac:dyDescent="0.3">
      <c r="A11" s="3" t="s">
        <v>339</v>
      </c>
      <c r="B11" s="3" t="s">
        <v>340</v>
      </c>
      <c r="C11" s="3"/>
      <c r="D11" s="37"/>
      <c r="E11" s="49" cm="1">
        <f t="array" ref="E11">IFERROR(_xll.FDS($A$1,""&amp;$B11&amp;"("&amp;(CHOOSE($F$1,$Z$4,$AA$4))&amp;","&amp;E$7&amp;",,,,"&amp;$H$1&amp;")"),"")</f>
        <v>163.065</v>
      </c>
      <c r="F11" s="49" cm="1">
        <f t="array" ref="F11">IFERROR(_xll.FDS($A$1,""&amp;$B11&amp;"("&amp;(CHOOSE($F$1,$Z$4,$AA$4))&amp;","&amp;F$7&amp;",,,,"&amp;$H$1&amp;")"),"")</f>
        <v>241.08799999999999</v>
      </c>
      <c r="G11" s="49" cm="1">
        <f t="array" ref="G11">IFERROR(_xll.FDS($A$1,""&amp;$B11&amp;"("&amp;(CHOOSE($F$1,$Z$4,$AA$4))&amp;","&amp;G$7&amp;",,,,"&amp;$H$1&amp;")"),"")</f>
        <v>266.21499999999997</v>
      </c>
      <c r="H11" s="49" cm="1">
        <f t="array" ref="H11">IFERROR(_xll.FDS($A$1,""&amp;$B11&amp;"("&amp;(CHOOSE($F$1,$Z$4,$AA$4))&amp;","&amp;H$7&amp;",,,,"&amp;$H$1&amp;")"),"")</f>
        <v>290.63299999999998</v>
      </c>
      <c r="I11" s="49" cm="1">
        <f t="array" ref="I11">IFERROR(_xll.FDS($A$1,""&amp;$B11&amp;"("&amp;(CHOOSE($F$1,$Z$4,$AA$4))&amp;","&amp;I$7&amp;",,,,"&amp;$H$1&amp;")"),"")</f>
        <v>262.77</v>
      </c>
      <c r="J11" s="49" cm="1">
        <f t="array" ref="J11">IFERROR(_xll.FDS($A$1,""&amp;$B11&amp;"("&amp;(CHOOSE($F$1,$Z$4,$AA$4))&amp;","&amp;J$7&amp;",,,,"&amp;$H$1&amp;")"),"")</f>
        <v>245.87299999999999</v>
      </c>
      <c r="K11" s="49" cm="1">
        <f t="array" ref="K11">IFERROR(_xll.FDS($A$1,""&amp;$B11&amp;"("&amp;(CHOOSE($F$1,$Z$4,$AA$4))&amp;","&amp;K$7&amp;",,,,"&amp;$H$1&amp;")"),"")</f>
        <v>231.37200000000001</v>
      </c>
      <c r="L11" s="49" cm="1">
        <f t="array" ref="L11">IFERROR(_xll.FDS($A$1,""&amp;$B11&amp;"("&amp;(CHOOSE($F$1,$Z$4,$AA$4))&amp;","&amp;L$7&amp;",,,,"&amp;$H$1&amp;")"),"")</f>
        <v>242.76300000000001</v>
      </c>
      <c r="M11" s="49" cm="1">
        <f t="array" ref="M11">IFERROR(_xll.FDS($A$1,""&amp;$B11&amp;"("&amp;(CHOOSE($F$1,$Z$4,$AA$4))&amp;","&amp;M$7&amp;",,,,"&amp;$H$1&amp;")"),"")</f>
        <v>274.07900000000001</v>
      </c>
      <c r="N11" s="49" cm="1">
        <f t="array" ref="N11">IFERROR(_xll.FDS($A$1,""&amp;$B11&amp;"("&amp;(CHOOSE($F$1,$Z$4,$AA$4))&amp;","&amp;N$7&amp;",,,,"&amp;$H$1&amp;")"),"")</f>
        <v>405.125</v>
      </c>
      <c r="O11" s="49" cm="1">
        <f t="array" ref="O11">IFERROR(_xll.FDS($A$1,""&amp;$B11&amp;"("&amp;(CHOOSE($F$1,$Z$4,$AA$4))&amp;","&amp;O$7&amp;",,,,"&amp;$H$1&amp;")"),"")</f>
        <v>499.56299999999999</v>
      </c>
    </row>
    <row r="12" spans="1:24" x14ac:dyDescent="0.3">
      <c r="A12" s="3" t="s">
        <v>341</v>
      </c>
      <c r="B12" t="s">
        <v>342</v>
      </c>
      <c r="E12" s="49" t="str" cm="1">
        <f t="array" ref="E12">IFERROR(_xll.FDS($A$1,""&amp;$B12&amp;"("&amp;(CHOOSE($F$1,$Z$4,$AA$4))&amp;","&amp;E$7&amp;",,,,"&amp;$H$1&amp;")"),"")</f>
        <v/>
      </c>
      <c r="F12" s="49" t="str" cm="1">
        <f t="array" ref="F12">IFERROR(_xll.FDS($A$1,""&amp;$B12&amp;"("&amp;(CHOOSE($F$1,$Z$4,$AA$4))&amp;","&amp;F$7&amp;",,,,"&amp;$H$1&amp;")"),"")</f>
        <v/>
      </c>
      <c r="G12" s="49" t="str" cm="1">
        <f t="array" ref="G12">IFERROR(_xll.FDS($A$1,""&amp;$B12&amp;"("&amp;(CHOOSE($F$1,$Z$4,$AA$4))&amp;","&amp;G$7&amp;",,,,"&amp;$H$1&amp;")"),"")</f>
        <v/>
      </c>
      <c r="H12" s="49" t="str" cm="1">
        <f t="array" ref="H12">IFERROR(_xll.FDS($A$1,""&amp;$B12&amp;"("&amp;(CHOOSE($F$1,$Z$4,$AA$4))&amp;","&amp;H$7&amp;",,,,"&amp;$H$1&amp;")"),"")</f>
        <v/>
      </c>
      <c r="I12" s="49" t="str" cm="1">
        <f t="array" ref="I12">IFERROR(_xll.FDS($A$1,""&amp;$B12&amp;"("&amp;(CHOOSE($F$1,$Z$4,$AA$4))&amp;","&amp;I$7&amp;",,,,"&amp;$H$1&amp;")"),"")</f>
        <v/>
      </c>
      <c r="J12" s="49" t="str" cm="1">
        <f t="array" ref="J12">IFERROR(_xll.FDS($A$1,""&amp;$B12&amp;"("&amp;(CHOOSE($F$1,$Z$4,$AA$4))&amp;","&amp;J$7&amp;",,,,"&amp;$H$1&amp;")"),"")</f>
        <v/>
      </c>
      <c r="K12" s="49" t="str" cm="1">
        <f t="array" ref="K12">IFERROR(_xll.FDS($A$1,""&amp;$B12&amp;"("&amp;(CHOOSE($F$1,$Z$4,$AA$4))&amp;","&amp;K$7&amp;",,,,"&amp;$H$1&amp;")"),"")</f>
        <v/>
      </c>
      <c r="L12" s="49" t="str" cm="1">
        <f t="array" ref="L12">IFERROR(_xll.FDS($A$1,""&amp;$B12&amp;"("&amp;(CHOOSE($F$1,$Z$4,$AA$4))&amp;","&amp;L$7&amp;",,,,"&amp;$H$1&amp;")"),"")</f>
        <v/>
      </c>
      <c r="M12" s="49" t="str" cm="1">
        <f t="array" ref="M12">IFERROR(_xll.FDS($A$1,""&amp;$B12&amp;"("&amp;(CHOOSE($F$1,$Z$4,$AA$4))&amp;","&amp;M$7&amp;",,,,"&amp;$H$1&amp;")"),"")</f>
        <v/>
      </c>
      <c r="N12" s="49" t="str" cm="1">
        <f t="array" ref="N12">IFERROR(_xll.FDS($A$1,""&amp;$B12&amp;"("&amp;(CHOOSE($F$1,$Z$4,$AA$4))&amp;","&amp;N$7&amp;",,,,"&amp;$H$1&amp;")"),"")</f>
        <v/>
      </c>
      <c r="O12" s="49" t="str" cm="1">
        <f t="array" ref="O12">IFERROR(_xll.FDS($A$1,""&amp;$B12&amp;"("&amp;(CHOOSE($F$1,$Z$4,$AA$4))&amp;","&amp;O$7&amp;",,,,"&amp;$H$1&amp;")"),"")</f>
        <v/>
      </c>
    </row>
    <row r="13" spans="1:24" x14ac:dyDescent="0.3">
      <c r="A13" s="3" t="s">
        <v>343</v>
      </c>
      <c r="B13" t="s">
        <v>344</v>
      </c>
      <c r="E13" s="49" t="str" cm="1">
        <f t="array" ref="E13">IFERROR(_xll.FDS($A$1,""&amp;$B13&amp;"("&amp;(CHOOSE($F$1,$Z$4,$AA$4))&amp;","&amp;E$7&amp;",,,,"&amp;$H$1&amp;")"),"")</f>
        <v/>
      </c>
      <c r="F13" s="49" t="str" cm="1">
        <f t="array" ref="F13">IFERROR(_xll.FDS($A$1,""&amp;$B13&amp;"("&amp;(CHOOSE($F$1,$Z$4,$AA$4))&amp;","&amp;F$7&amp;",,,,"&amp;$H$1&amp;")"),"")</f>
        <v/>
      </c>
      <c r="G13" s="49" t="str" cm="1">
        <f t="array" ref="G13">IFERROR(_xll.FDS($A$1,""&amp;$B13&amp;"("&amp;(CHOOSE($F$1,$Z$4,$AA$4))&amp;","&amp;G$7&amp;",,,,"&amp;$H$1&amp;")"),"")</f>
        <v/>
      </c>
      <c r="H13" s="49" t="str" cm="1">
        <f t="array" ref="H13">IFERROR(_xll.FDS($A$1,""&amp;$B13&amp;"("&amp;(CHOOSE($F$1,$Z$4,$AA$4))&amp;","&amp;H$7&amp;",,,,"&amp;$H$1&amp;")"),"")</f>
        <v/>
      </c>
      <c r="I13" s="49" t="str" cm="1">
        <f t="array" ref="I13">IFERROR(_xll.FDS($A$1,""&amp;$B13&amp;"("&amp;(CHOOSE($F$1,$Z$4,$AA$4))&amp;","&amp;I$7&amp;",,,,"&amp;$H$1&amp;")"),"")</f>
        <v/>
      </c>
      <c r="J13" s="49" t="str" cm="1">
        <f t="array" ref="J13">IFERROR(_xll.FDS($A$1,""&amp;$B13&amp;"("&amp;(CHOOSE($F$1,$Z$4,$AA$4))&amp;","&amp;J$7&amp;",,,,"&amp;$H$1&amp;")"),"")</f>
        <v/>
      </c>
      <c r="K13" s="49" t="str" cm="1">
        <f t="array" ref="K13">IFERROR(_xll.FDS($A$1,""&amp;$B13&amp;"("&amp;(CHOOSE($F$1,$Z$4,$AA$4))&amp;","&amp;K$7&amp;",,,,"&amp;$H$1&amp;")"),"")</f>
        <v/>
      </c>
      <c r="L13" s="49" t="str" cm="1">
        <f t="array" ref="L13">IFERROR(_xll.FDS($A$1,""&amp;$B13&amp;"("&amp;(CHOOSE($F$1,$Z$4,$AA$4))&amp;","&amp;L$7&amp;",,,,"&amp;$H$1&amp;")"),"")</f>
        <v/>
      </c>
      <c r="M13" s="49" t="str" cm="1">
        <f t="array" ref="M13">IFERROR(_xll.FDS($A$1,""&amp;$B13&amp;"("&amp;(CHOOSE($F$1,$Z$4,$AA$4))&amp;","&amp;M$7&amp;",,,,"&amp;$H$1&amp;")"),"")</f>
        <v/>
      </c>
      <c r="N13" s="49" t="str" cm="1">
        <f t="array" ref="N13">IFERROR(_xll.FDS($A$1,""&amp;$B13&amp;"("&amp;(CHOOSE($F$1,$Z$4,$AA$4))&amp;","&amp;N$7&amp;",,,,"&amp;$H$1&amp;")"),"")</f>
        <v/>
      </c>
      <c r="O13" s="49" t="str" cm="1">
        <f t="array" ref="O13">IFERROR(_xll.FDS($A$1,""&amp;$B13&amp;"("&amp;(CHOOSE($F$1,$Z$4,$AA$4))&amp;","&amp;O$7&amp;",,,,"&amp;$H$1&amp;")"),"")</f>
        <v/>
      </c>
    </row>
    <row r="14" spans="1:24" x14ac:dyDescent="0.3">
      <c r="A14" s="3" t="s">
        <v>345</v>
      </c>
    </row>
    <row r="15" spans="1:24" x14ac:dyDescent="0.3">
      <c r="A15" s="3" t="s">
        <v>109</v>
      </c>
      <c r="B15" t="s">
        <v>346</v>
      </c>
      <c r="E15" s="49" t="str" cm="1">
        <f t="array" ref="E15">IFERROR(_xll.FDS($A$1,""&amp;$B15&amp;"("&amp;(CHOOSE($F$1,$Z$4,$AA$4))&amp;","&amp;E$7&amp;",,,,"&amp;$H$1&amp;")"),"")</f>
        <v/>
      </c>
      <c r="F15" s="49" t="str" cm="1">
        <f t="array" ref="F15">IFERROR(_xll.FDS($A$1,""&amp;$B15&amp;"("&amp;(CHOOSE($F$1,$Z$4,$AA$4))&amp;","&amp;F$7&amp;",,,,"&amp;$H$1&amp;")"),"")</f>
        <v/>
      </c>
      <c r="G15" s="49" t="str" cm="1">
        <f t="array" ref="G15">IFERROR(_xll.FDS($A$1,""&amp;$B15&amp;"("&amp;(CHOOSE($F$1,$Z$4,$AA$4))&amp;","&amp;G$7&amp;",,,,"&amp;$H$1&amp;")"),"")</f>
        <v/>
      </c>
      <c r="H15" s="49" t="str" cm="1">
        <f t="array" ref="H15">IFERROR(_xll.FDS($A$1,""&amp;$B15&amp;"("&amp;(CHOOSE($F$1,$Z$4,$AA$4))&amp;","&amp;H$7&amp;",,,,"&amp;$H$1&amp;")"),"")</f>
        <v/>
      </c>
      <c r="I15" s="49" t="str" cm="1">
        <f t="array" ref="I15">IFERROR(_xll.FDS($A$1,""&amp;$B15&amp;"("&amp;(CHOOSE($F$1,$Z$4,$AA$4))&amp;","&amp;I$7&amp;",,,,"&amp;$H$1&amp;")"),"")</f>
        <v/>
      </c>
      <c r="J15" s="49" t="str" cm="1">
        <f t="array" ref="J15">IFERROR(_xll.FDS($A$1,""&amp;$B15&amp;"("&amp;(CHOOSE($F$1,$Z$4,$AA$4))&amp;","&amp;J$7&amp;",,,,"&amp;$H$1&amp;")"),"")</f>
        <v/>
      </c>
      <c r="K15" s="49" t="str" cm="1">
        <f t="array" ref="K15">IFERROR(_xll.FDS($A$1,""&amp;$B15&amp;"("&amp;(CHOOSE($F$1,$Z$4,$AA$4))&amp;","&amp;K$7&amp;",,,,"&amp;$H$1&amp;")"),"")</f>
        <v/>
      </c>
      <c r="L15" s="49" t="str" cm="1">
        <f t="array" ref="L15">IFERROR(_xll.FDS($A$1,""&amp;$B15&amp;"("&amp;(CHOOSE($F$1,$Z$4,$AA$4))&amp;","&amp;L$7&amp;",,,,"&amp;$H$1&amp;")"),"")</f>
        <v/>
      </c>
      <c r="M15" s="49" t="str" cm="1">
        <f t="array" ref="M15">IFERROR(_xll.FDS($A$1,""&amp;$B15&amp;"("&amp;(CHOOSE($F$1,$Z$4,$AA$4))&amp;","&amp;M$7&amp;",,,,"&amp;$H$1&amp;")"),"")</f>
        <v/>
      </c>
      <c r="N15" s="49" t="str" cm="1">
        <f t="array" ref="N15">IFERROR(_xll.FDS($A$1,""&amp;$B15&amp;"("&amp;(CHOOSE($F$1,$Z$4,$AA$4))&amp;","&amp;N$7&amp;",,,,"&amp;$H$1&amp;")"),"")</f>
        <v/>
      </c>
      <c r="O15" s="49" t="str" cm="1">
        <f t="array" ref="O15">IFERROR(_xll.FDS($A$1,""&amp;$B15&amp;"("&amp;(CHOOSE($F$1,$Z$4,$AA$4))&amp;","&amp;O$7&amp;",,,,"&amp;$H$1&amp;")"),"")</f>
        <v/>
      </c>
    </row>
    <row r="16" spans="1:24" x14ac:dyDescent="0.3">
      <c r="A16" s="3" t="s">
        <v>347</v>
      </c>
      <c r="B16" t="s">
        <v>348</v>
      </c>
      <c r="E16" s="49" cm="1">
        <f t="array" ref="E16">IFERROR(_xll.FDS($A$1,""&amp;$B16&amp;"("&amp;(CHOOSE($F$1,$Z$4,$AA$4))&amp;","&amp;E$7&amp;",,,,"&amp;$H$1&amp;")"),"")</f>
        <v>0</v>
      </c>
      <c r="F16" s="49" cm="1">
        <f t="array" ref="F16">IFERROR(_xll.FDS($A$1,""&amp;$B16&amp;"("&amp;(CHOOSE($F$1,$Z$4,$AA$4))&amp;","&amp;F$7&amp;",,,,"&amp;$H$1&amp;")"),"")</f>
        <v>3.6070000000000002</v>
      </c>
      <c r="G16" s="49" cm="1">
        <f t="array" ref="G16">IFERROR(_xll.FDS($A$1,""&amp;$B16&amp;"("&amp;(CHOOSE($F$1,$Z$4,$AA$4))&amp;","&amp;G$7&amp;",,,,"&amp;$H$1&amp;")"),"")</f>
        <v>10.452999999999999</v>
      </c>
      <c r="H16" s="49" cm="1">
        <f t="array" ref="H16">IFERROR(_xll.FDS($A$1,""&amp;$B16&amp;"("&amp;(CHOOSE($F$1,$Z$4,$AA$4))&amp;","&amp;H$7&amp;",,,,"&amp;$H$1&amp;")"),"")</f>
        <v>10.754</v>
      </c>
      <c r="I16" s="49" cm="1">
        <f t="array" ref="I16">IFERROR(_xll.FDS($A$1,""&amp;$B16&amp;"("&amp;(CHOOSE($F$1,$Z$4,$AA$4))&amp;","&amp;I$7&amp;",,,,"&amp;$H$1&amp;")"),"")</f>
        <v>11.079000000000001</v>
      </c>
      <c r="J16" s="49" cm="1">
        <f t="array" ref="J16">IFERROR(_xll.FDS($A$1,""&amp;$B16&amp;"("&amp;(CHOOSE($F$1,$Z$4,$AA$4))&amp;","&amp;J$7&amp;",,,,"&amp;$H$1&amp;")"),"")</f>
        <v>16.766999999999999</v>
      </c>
      <c r="K16" s="49" cm="1">
        <f t="array" ref="K16">IFERROR(_xll.FDS($A$1,""&amp;$B16&amp;"("&amp;(CHOOSE($F$1,$Z$4,$AA$4))&amp;","&amp;K$7&amp;",,,,"&amp;$H$1&amp;")"),"")</f>
        <v>18.096</v>
      </c>
      <c r="L16" s="49" cm="1">
        <f t="array" ref="L16">IFERROR(_xll.FDS($A$1,""&amp;$B16&amp;"("&amp;(CHOOSE($F$1,$Z$4,$AA$4))&amp;","&amp;L$7&amp;",,,,"&amp;$H$1&amp;")"),"")</f>
        <v>13.055</v>
      </c>
      <c r="M16" s="49" cm="1">
        <f t="array" ref="M16">IFERROR(_xll.FDS($A$1,""&amp;$B16&amp;"("&amp;(CHOOSE($F$1,$Z$4,$AA$4))&amp;","&amp;M$7&amp;",,,,"&amp;$H$1&amp;")"),"")</f>
        <v>11.734</v>
      </c>
      <c r="N16" s="49" cm="1">
        <f t="array" ref="N16">IFERROR(_xll.FDS($A$1,""&amp;$B16&amp;"("&amp;(CHOOSE($F$1,$Z$4,$AA$4))&amp;","&amp;N$7&amp;",,,,"&amp;$H$1&amp;")"),"")</f>
        <v>6.4</v>
      </c>
      <c r="O16" s="49" cm="1">
        <f t="array" ref="O16">IFERROR(_xll.FDS($A$1,""&amp;$B16&amp;"("&amp;(CHOOSE($F$1,$Z$4,$AA$4))&amp;","&amp;O$7&amp;",,,,"&amp;$H$1&amp;")"),"")</f>
        <v>7.7679999999999998</v>
      </c>
    </row>
    <row r="17" spans="1:15" x14ac:dyDescent="0.3">
      <c r="A17" s="41" t="s">
        <v>117</v>
      </c>
      <c r="B17" t="s">
        <v>349</v>
      </c>
      <c r="E17" s="49" cm="1">
        <f t="array" ref="E17">IFERROR(_xll.FDS($A$1,""&amp;$B17&amp;"("&amp;(CHOOSE($F$1,$Z$4,$AA$4))&amp;","&amp;E$7&amp;",,,,"&amp;$H$1&amp;")"),"")</f>
        <v>0</v>
      </c>
      <c r="F17" s="49" cm="1">
        <f t="array" ref="F17">IFERROR(_xll.FDS($A$1,""&amp;$B17&amp;"("&amp;(CHOOSE($F$1,$Z$4,$AA$4))&amp;","&amp;F$7&amp;",,,,"&amp;$H$1&amp;")"),"")</f>
        <v>0</v>
      </c>
      <c r="G17" s="49" cm="1">
        <f t="array" ref="G17">IFERROR(_xll.FDS($A$1,""&amp;$B17&amp;"("&amp;(CHOOSE($F$1,$Z$4,$AA$4))&amp;","&amp;G$7&amp;",,,,"&amp;$H$1&amp;")"),"")</f>
        <v>0</v>
      </c>
      <c r="H17" s="49" cm="1">
        <f t="array" ref="H17">IFERROR(_xll.FDS($A$1,""&amp;$B17&amp;"("&amp;(CHOOSE($F$1,$Z$4,$AA$4))&amp;","&amp;H$7&amp;",,,,"&amp;$H$1&amp;")"),"")</f>
        <v>0</v>
      </c>
      <c r="I17" s="49" cm="1">
        <f t="array" ref="I17">IFERROR(_xll.FDS($A$1,""&amp;$B17&amp;"("&amp;(CHOOSE($F$1,$Z$4,$AA$4))&amp;","&amp;I$7&amp;",,,,"&amp;$H$1&amp;")"),"")</f>
        <v>0</v>
      </c>
      <c r="J17" s="49" cm="1">
        <f t="array" ref="J17">IFERROR(_xll.FDS($A$1,""&amp;$B17&amp;"("&amp;(CHOOSE($F$1,$Z$4,$AA$4))&amp;","&amp;J$7&amp;",,,,"&amp;$H$1&amp;")"),"")</f>
        <v>0</v>
      </c>
      <c r="K17" s="49" cm="1">
        <f t="array" ref="K17">IFERROR(_xll.FDS($A$1,""&amp;$B17&amp;"("&amp;(CHOOSE($F$1,$Z$4,$AA$4))&amp;","&amp;K$7&amp;",,,,"&amp;$H$1&amp;")"),"")</f>
        <v>0</v>
      </c>
      <c r="L17" s="49" cm="1">
        <f t="array" ref="L17">IFERROR(_xll.FDS($A$1,""&amp;$B17&amp;"("&amp;(CHOOSE($F$1,$Z$4,$AA$4))&amp;","&amp;L$7&amp;",,,,"&amp;$H$1&amp;")"),"")</f>
        <v>0</v>
      </c>
      <c r="M17" s="49" cm="1">
        <f t="array" ref="M17">IFERROR(_xll.FDS($A$1,""&amp;$B17&amp;"("&amp;(CHOOSE($F$1,$Z$4,$AA$4))&amp;","&amp;M$7&amp;",,,,"&amp;$H$1&amp;")"),"")</f>
        <v>0</v>
      </c>
      <c r="N17" s="49" cm="1">
        <f t="array" ref="N17">IFERROR(_xll.FDS($A$1,""&amp;$B17&amp;"("&amp;(CHOOSE($F$1,$Z$4,$AA$4))&amp;","&amp;N$7&amp;",,,,"&amp;$H$1&amp;")"),"")</f>
        <v>0</v>
      </c>
      <c r="O17" s="49" cm="1">
        <f t="array" ref="O17">IFERROR(_xll.FDS($A$1,""&amp;$B17&amp;"("&amp;(CHOOSE($F$1,$Z$4,$AA$4))&amp;","&amp;O$7&amp;",,,,"&amp;$H$1&amp;")"),"")</f>
        <v>0</v>
      </c>
    </row>
    <row r="18" spans="1:15" x14ac:dyDescent="0.3">
      <c r="A18" s="3" t="s">
        <v>118</v>
      </c>
      <c r="B18" t="s">
        <v>350</v>
      </c>
      <c r="E18" s="49" cm="1">
        <f t="array" ref="E18">IFERROR(_xll.FDS($A$1,""&amp;$B18&amp;"("&amp;(CHOOSE($F$1,$Z$4,$AA$4))&amp;","&amp;E$7&amp;",,,,"&amp;$H$1&amp;")"),"")</f>
        <v>0.161</v>
      </c>
      <c r="F18" s="49" cm="1">
        <f t="array" ref="F18">IFERROR(_xll.FDS($A$1,""&amp;$B18&amp;"("&amp;(CHOOSE($F$1,$Z$4,$AA$4))&amp;","&amp;F$7&amp;",,,,"&amp;$H$1&amp;")"),"")</f>
        <v>0</v>
      </c>
      <c r="G18" s="49" cm="1">
        <f t="array" ref="G18">IFERROR(_xll.FDS($A$1,""&amp;$B18&amp;"("&amp;(CHOOSE($F$1,$Z$4,$AA$4))&amp;","&amp;G$7&amp;",,,,"&amp;$H$1&amp;")"),"")</f>
        <v>0.107</v>
      </c>
      <c r="H18" s="49" cm="1">
        <f t="array" ref="H18">IFERROR(_xll.FDS($A$1,""&amp;$B18&amp;"("&amp;(CHOOSE($F$1,$Z$4,$AA$4))&amp;","&amp;H$7&amp;",,,,"&amp;$H$1&amp;")"),"")</f>
        <v>4.681</v>
      </c>
      <c r="I18" s="49" cm="1">
        <f t="array" ref="I18">IFERROR(_xll.FDS($A$1,""&amp;$B18&amp;"("&amp;(CHOOSE($F$1,$Z$4,$AA$4))&amp;","&amp;I$7&amp;",,,,"&amp;$H$1&amp;")"),"")</f>
        <v>-1.288</v>
      </c>
      <c r="J18" s="49" cm="1">
        <f t="array" ref="J18">IFERROR(_xll.FDS($A$1,""&amp;$B18&amp;"("&amp;(CHOOSE($F$1,$Z$4,$AA$4))&amp;","&amp;J$7&amp;",,,,"&amp;$H$1&amp;")"),"")</f>
        <v>2.2480000000000002</v>
      </c>
      <c r="K18" s="49" cm="1">
        <f t="array" ref="K18">IFERROR(_xll.FDS($A$1,""&amp;$B18&amp;"("&amp;(CHOOSE($F$1,$Z$4,$AA$4))&amp;","&amp;K$7&amp;",,,,"&amp;$H$1&amp;")"),"")</f>
        <v>0.08</v>
      </c>
      <c r="L18" s="49" cm="1">
        <f t="array" ref="L18">IFERROR(_xll.FDS($A$1,""&amp;$B18&amp;"("&amp;(CHOOSE($F$1,$Z$4,$AA$4))&amp;","&amp;L$7&amp;",,,,"&amp;$H$1&amp;")"),"")</f>
        <v>0.28899999999999998</v>
      </c>
      <c r="M18" s="49" cm="1">
        <f t="array" ref="M18">IFERROR(_xll.FDS($A$1,""&amp;$B18&amp;"("&amp;(CHOOSE($F$1,$Z$4,$AA$4))&amp;","&amp;M$7&amp;",,,,"&amp;$H$1&amp;")"),"")</f>
        <v>-36.11</v>
      </c>
      <c r="N18" s="49" cm="1">
        <f t="array" ref="N18">IFERROR(_xll.FDS($A$1,""&amp;$B18&amp;"("&amp;(CHOOSE($F$1,$Z$4,$AA$4))&amp;","&amp;N$7&amp;",,,,"&amp;$H$1&amp;")"),"")</f>
        <v>-1.036</v>
      </c>
      <c r="O18" s="49" cm="1">
        <f t="array" ref="O18">IFERROR(_xll.FDS($A$1,""&amp;$B18&amp;"("&amp;(CHOOSE($F$1,$Z$4,$AA$4))&amp;","&amp;O$7&amp;",,,,"&amp;$H$1&amp;")"),"")</f>
        <v>2.2839999999999998</v>
      </c>
    </row>
    <row r="19" spans="1:15" x14ac:dyDescent="0.3">
      <c r="A19" s="3" t="s">
        <v>120</v>
      </c>
      <c r="B19" t="s">
        <v>351</v>
      </c>
      <c r="E19" s="49" cm="1">
        <f t="array" ref="E19">IFERROR(_xll.FDS($A$1,""&amp;$B19&amp;"("&amp;(CHOOSE($F$1,$Z$4,$AA$4))&amp;","&amp;E$7&amp;",,,,"&amp;$H$1&amp;")"),"")</f>
        <v>49.58</v>
      </c>
      <c r="F19" s="49" cm="1">
        <f t="array" ref="F19">IFERROR(_xll.FDS($A$1,""&amp;$B19&amp;"("&amp;(CHOOSE($F$1,$Z$4,$AA$4))&amp;","&amp;F$7&amp;",,,,"&amp;$H$1&amp;")"),"")</f>
        <v>106.453</v>
      </c>
      <c r="G19" s="49" cm="1">
        <f t="array" ref="G19">IFERROR(_xll.FDS($A$1,""&amp;$B19&amp;"("&amp;(CHOOSE($F$1,$Z$4,$AA$4))&amp;","&amp;G$7&amp;",,,,"&amp;$H$1&amp;")"),"")</f>
        <v>100.962</v>
      </c>
      <c r="H19" s="49" cm="1">
        <f t="array" ref="H19">IFERROR(_xll.FDS($A$1,""&amp;$B19&amp;"("&amp;(CHOOSE($F$1,$Z$4,$AA$4))&amp;","&amp;H$7&amp;",,,,"&amp;$H$1&amp;")"),"")</f>
        <v>106.19199999999999</v>
      </c>
      <c r="I19" s="49" cm="1">
        <f t="array" ref="I19">IFERROR(_xll.FDS($A$1,""&amp;$B19&amp;"("&amp;(CHOOSE($F$1,$Z$4,$AA$4))&amp;","&amp;I$7&amp;",,,,"&amp;$H$1&amp;")"),"")</f>
        <v>46.856000000000002</v>
      </c>
      <c r="J19" s="49" cm="1">
        <f t="array" ref="J19">IFERROR(_xll.FDS($A$1,""&amp;$B19&amp;"("&amp;(CHOOSE($F$1,$Z$4,$AA$4))&amp;","&amp;J$7&amp;",,,,"&amp;$H$1&amp;")"),"")</f>
        <v>-15.624000000000001</v>
      </c>
      <c r="K19" s="49" cm="1">
        <f t="array" ref="K19">IFERROR(_xll.FDS($A$1,""&amp;$B19&amp;"("&amp;(CHOOSE($F$1,$Z$4,$AA$4))&amp;","&amp;K$7&amp;",,,,"&amp;$H$1&amp;")"),"")</f>
        <v>26.902000000000001</v>
      </c>
      <c r="L19" s="49" cm="1">
        <f t="array" ref="L19">IFERROR(_xll.FDS($A$1,""&amp;$B19&amp;"("&amp;(CHOOSE($F$1,$Z$4,$AA$4))&amp;","&amp;L$7&amp;",,,,"&amp;$H$1&amp;")"),"")</f>
        <v>36.093000000000004</v>
      </c>
      <c r="M19" s="49" cm="1">
        <f t="array" ref="M19">IFERROR(_xll.FDS($A$1,""&amp;$B19&amp;"("&amp;(CHOOSE($F$1,$Z$4,$AA$4))&amp;","&amp;M$7&amp;",,,,"&amp;$H$1&amp;")"),"")</f>
        <v>36.927999999999997</v>
      </c>
      <c r="N19" s="49" cm="1">
        <f t="array" ref="N19">IFERROR(_xll.FDS($A$1,""&amp;$B19&amp;"("&amp;(CHOOSE($F$1,$Z$4,$AA$4))&amp;","&amp;N$7&amp;",,,,"&amp;$H$1&amp;")"),"")</f>
        <v>11.233000000000001</v>
      </c>
      <c r="O19" s="49" cm="1">
        <f t="array" ref="O19">IFERROR(_xll.FDS($A$1,""&amp;$B19&amp;"("&amp;(CHOOSE($F$1,$Z$4,$AA$4))&amp;","&amp;O$7&amp;",,,,"&amp;$H$1&amp;")"),"")</f>
        <v>-68.418000000000006</v>
      </c>
    </row>
    <row r="20" spans="1:15" x14ac:dyDescent="0.3">
      <c r="A20" s="3" t="s">
        <v>352</v>
      </c>
      <c r="E20" s="49"/>
      <c r="F20" s="49"/>
      <c r="G20" s="49"/>
      <c r="H20" s="49"/>
      <c r="I20" s="49"/>
      <c r="J20" s="49"/>
      <c r="K20" s="49"/>
      <c r="L20" s="49"/>
      <c r="M20" s="49"/>
      <c r="N20" s="49"/>
      <c r="O20" s="49"/>
    </row>
    <row r="21" spans="1:15" x14ac:dyDescent="0.3">
      <c r="A21" s="40" t="s">
        <v>122</v>
      </c>
      <c r="B21" t="s">
        <v>353</v>
      </c>
      <c r="E21" s="49" cm="1">
        <f t="array" ref="E21">IFERROR(_xll.FDS($A$1,""&amp;$B21&amp;"("&amp;(CHOOSE($F$1,$Z$4,$AA$4))&amp;","&amp;E$7&amp;",,,,"&amp;$H$1&amp;")"),"")</f>
        <v>19.422999999999998</v>
      </c>
      <c r="F21" s="49" cm="1">
        <f t="array" ref="F21">IFERROR(_xll.FDS($A$1,""&amp;$B21&amp;"("&amp;(CHOOSE($F$1,$Z$4,$AA$4))&amp;","&amp;F$7&amp;",,,,"&amp;$H$1&amp;")"),"")</f>
        <v>40.890999999999998</v>
      </c>
      <c r="G21" s="49" cm="1">
        <f t="array" ref="G21">IFERROR(_xll.FDS($A$1,""&amp;$B21&amp;"("&amp;(CHOOSE($F$1,$Z$4,$AA$4))&amp;","&amp;G$7&amp;",,,,"&amp;$H$1&amp;")"),"")</f>
        <v>38.298000000000002</v>
      </c>
      <c r="H21" s="49" cm="1">
        <f t="array" ref="H21">IFERROR(_xll.FDS($A$1,""&amp;$B21&amp;"("&amp;(CHOOSE($F$1,$Z$4,$AA$4))&amp;","&amp;H$7&amp;",,,,"&amp;$H$1&amp;")"),"")</f>
        <v>40.331000000000003</v>
      </c>
      <c r="I21" s="49" cm="1">
        <f t="array" ref="I21">IFERROR(_xll.FDS($A$1,""&amp;$B21&amp;"("&amp;(CHOOSE($F$1,$Z$4,$AA$4))&amp;","&amp;I$7&amp;",,,,"&amp;$H$1&amp;")"),"")</f>
        <v>17.835000000000001</v>
      </c>
      <c r="J21" s="49" cm="1">
        <f t="array" ref="J21">IFERROR(_xll.FDS($A$1,""&amp;$B21&amp;"("&amp;(CHOOSE($F$1,$Z$4,$AA$4))&amp;","&amp;J$7&amp;",,,,"&amp;$H$1&amp;")"),"")</f>
        <v>-8.7309999999999999</v>
      </c>
      <c r="K21" s="49" cm="1">
        <f t="array" ref="K21">IFERROR(_xll.FDS($A$1,""&amp;$B21&amp;"("&amp;(CHOOSE($F$1,$Z$4,$AA$4))&amp;","&amp;K$7&amp;",,,,"&amp;$H$1&amp;")"),"")</f>
        <v>9.1769999999999996</v>
      </c>
      <c r="L21" s="49" cm="1">
        <f t="array" ref="L21">IFERROR(_xll.FDS($A$1,""&amp;$B21&amp;"("&amp;(CHOOSE($F$1,$Z$4,$AA$4))&amp;","&amp;L$7&amp;",,,,"&amp;$H$1&amp;")"),"")</f>
        <v>9.5169999999999995</v>
      </c>
      <c r="M21" s="49" cm="1">
        <f t="array" ref="M21">IFERROR(_xll.FDS($A$1,""&amp;$B21&amp;"("&amp;(CHOOSE($F$1,$Z$4,$AA$4))&amp;","&amp;M$7&amp;",,,,"&amp;$H$1&amp;")"),"")</f>
        <v>9.3480000000000008</v>
      </c>
      <c r="N21" s="49" cm="1">
        <f t="array" ref="N21">IFERROR(_xll.FDS($A$1,""&amp;$B21&amp;"("&amp;(CHOOSE($F$1,$Z$4,$AA$4))&amp;","&amp;N$7&amp;",,,,"&amp;$H$1&amp;")"),"")</f>
        <v>3.9910000000000001</v>
      </c>
      <c r="O21" s="49" cm="1">
        <f t="array" ref="O21">IFERROR(_xll.FDS($A$1,""&amp;$B21&amp;"("&amp;(CHOOSE($F$1,$Z$4,$AA$4))&amp;","&amp;O$7&amp;",,,,"&amp;$H$1&amp;")"),"")</f>
        <v>-13.815</v>
      </c>
    </row>
    <row r="22" spans="1:15" x14ac:dyDescent="0.3">
      <c r="A22" s="42" t="s">
        <v>126</v>
      </c>
      <c r="B22" t="s">
        <v>354</v>
      </c>
      <c r="E22" s="50" cm="1">
        <f t="array" ref="E22">IFERROR(_xll.FDS($A$1,""&amp;$B22&amp;"("&amp;(CHOOSE($F$1,$Z$4,#REF!))&amp;","&amp;E$7&amp;",,,,"&amp;$H$1&amp;")"),"")</f>
        <v>29.669</v>
      </c>
      <c r="F22" s="50" cm="1">
        <f t="array" ref="F22">IFERROR(_xll.FDS($A$1,""&amp;$B22&amp;"("&amp;(CHOOSE($F$1,$Z$4,#REF!))&amp;","&amp;F$7&amp;",,,,"&amp;$H$1&amp;")"),"")</f>
        <v>62.348999999999997</v>
      </c>
      <c r="G22" s="50" cm="1">
        <f t="array" ref="G22">IFERROR(_xll.FDS($A$1,""&amp;$B22&amp;"("&amp;(CHOOSE($F$1,$Z$4,#REF!))&amp;","&amp;G$7&amp;",,,,"&amp;$H$1&amp;")"),"")</f>
        <v>58.345999999999997</v>
      </c>
      <c r="H22" s="50" cm="1">
        <f t="array" ref="H22">IFERROR(_xll.FDS($A$1,""&amp;$B22&amp;"("&amp;(CHOOSE($F$1,$Z$4,#REF!))&amp;","&amp;H$7&amp;",,,,"&amp;$H$1&amp;")"),"")</f>
        <v>62.463000000000001</v>
      </c>
      <c r="I22" s="50" cm="1">
        <f t="array" ref="I22">IFERROR(_xll.FDS($A$1,""&amp;$B22&amp;"("&amp;(CHOOSE($F$1,$Z$4,#REF!))&amp;","&amp;I$7&amp;",,,,"&amp;$H$1&amp;")"),"")</f>
        <v>27.475999999999999</v>
      </c>
      <c r="J22" s="50" cm="1">
        <f t="array" ref="J22">IFERROR(_xll.FDS($A$1,""&amp;$B22&amp;"("&amp;(CHOOSE($F$1,$Z$4,#REF!))&amp;","&amp;J$7&amp;",,,,"&amp;$H$1&amp;")"),"")</f>
        <v>-6.4119999999999999</v>
      </c>
      <c r="K22" s="50" cm="1">
        <f t="array" ref="K22">IFERROR(_xll.FDS($A$1,""&amp;$B22&amp;"("&amp;(CHOOSE($F$1,$Z$4,#REF!))&amp;","&amp;K$7&amp;",,,,"&amp;$H$1&amp;")"),"")</f>
        <v>18.442</v>
      </c>
      <c r="L22" s="50" cm="1">
        <f t="array" ref="L22">IFERROR(_xll.FDS($A$1,""&amp;$B22&amp;"("&amp;(CHOOSE($F$1,$Z$4,#REF!))&amp;","&amp;L$7&amp;",,,,"&amp;$H$1&amp;")"),"")</f>
        <v>25.128</v>
      </c>
      <c r="M22" s="50" cm="1">
        <f t="array" ref="M22">IFERROR(_xll.FDS($A$1,""&amp;$B22&amp;"("&amp;(CHOOSE($F$1,$Z$4,#REF!))&amp;","&amp;M$7&amp;",,,,"&amp;$H$1&amp;")"),"")</f>
        <v>26.117999999999999</v>
      </c>
      <c r="N22" s="50" cm="1">
        <f t="array" ref="N22">IFERROR(_xll.FDS($A$1,""&amp;$B22&amp;"("&amp;(CHOOSE($F$1,$Z$4,#REF!))&amp;","&amp;N$7&amp;",,,,"&amp;$H$1&amp;")"),"")</f>
        <v>1.8320000000000001</v>
      </c>
      <c r="O22" s="50" cm="1">
        <f t="array" ref="O22">IFERROR(_xll.FDS($A$1,""&amp;$B22&amp;"("&amp;(CHOOSE($F$1,$Z$4,#REF!))&amp;","&amp;O$7&amp;",,,,"&amp;$H$1&amp;")"),"")</f>
        <v>-55.048000000000002</v>
      </c>
    </row>
    <row r="23" spans="1:15" x14ac:dyDescent="0.3">
      <c r="A23" s="42"/>
    </row>
    <row r="24" spans="1:15" x14ac:dyDescent="0.3">
      <c r="A24" s="43" t="s">
        <v>132</v>
      </c>
      <c r="B24" t="s">
        <v>355</v>
      </c>
      <c r="E24" s="51" cm="1">
        <f t="array" ref="E24">IFERROR(_xll.FDS($A$1,""&amp;$B24&amp;"("&amp;(CHOOSE($F$1,$Z$4,#REF!))&amp;","&amp;E$7&amp;",,,,"&amp;$H$1&amp;")"),"")</f>
        <v>9.8130000000000006</v>
      </c>
      <c r="F24" s="51" cm="1">
        <f t="array" ref="F24">IFERROR(_xll.FDS($A$1,""&amp;$B24&amp;"("&amp;(CHOOSE($F$1,$Z$4,#REF!))&amp;","&amp;F$7&amp;",,,,"&amp;$H$1&amp;")"),"")</f>
        <v>11.122</v>
      </c>
      <c r="G24" s="51" cm="1">
        <f t="array" ref="G24">IFERROR(_xll.FDS($A$1,""&amp;$B24&amp;"("&amp;(CHOOSE($F$1,$Z$4,#REF!))&amp;","&amp;G$7&amp;",,,,"&amp;$H$1&amp;")"),"")</f>
        <v>11.694000000000001</v>
      </c>
      <c r="H24" s="51" cm="1">
        <f t="array" ref="H24">IFERROR(_xll.FDS($A$1,""&amp;$B24&amp;"("&amp;(CHOOSE($F$1,$Z$4,#REF!))&amp;","&amp;H$7&amp;",,,,"&amp;$H$1&amp;")"),"")</f>
        <v>11.355</v>
      </c>
      <c r="I24" s="51" cm="1">
        <f t="array" ref="I24">IFERROR(_xll.FDS($A$1,""&amp;$B24&amp;"("&amp;(CHOOSE($F$1,$Z$4,#REF!))&amp;","&amp;I$7&amp;",,,,"&amp;$H$1&amp;")"),"")</f>
        <v>10.872999999999999</v>
      </c>
      <c r="J24" s="51" cm="1">
        <f t="array" ref="J24">IFERROR(_xll.FDS($A$1,""&amp;$B24&amp;"("&amp;(CHOOSE($F$1,$Z$4,#REF!))&amp;","&amp;J$7&amp;",,,,"&amp;$H$1&amp;")"),"")</f>
        <v>8.5579999999999998</v>
      </c>
      <c r="K24" s="51" cm="1">
        <f t="array" ref="K24">IFERROR(_xll.FDS($A$1,""&amp;$B24&amp;"("&amp;(CHOOSE($F$1,$Z$4,#REF!))&amp;","&amp;K$7&amp;",,,,"&amp;$H$1&amp;")"),"")</f>
        <v>7.8949999999999996</v>
      </c>
      <c r="L24" s="51" cm="1">
        <f t="array" ref="L24">IFERROR(_xll.FDS($A$1,""&amp;$B24&amp;"("&amp;(CHOOSE($F$1,$Z$4,#REF!))&amp;","&amp;L$7&amp;",,,,"&amp;$H$1&amp;")"),"")</f>
        <v>10.238</v>
      </c>
      <c r="M24" s="51" cm="1">
        <f t="array" ref="M24">IFERROR(_xll.FDS($A$1,""&amp;$B24&amp;"("&amp;(CHOOSE($F$1,$Z$4,#REF!))&amp;","&amp;M$7&amp;",,,,"&amp;$H$1&amp;")"),"")</f>
        <v>9.6940000000000008</v>
      </c>
      <c r="N24" s="51" cm="1">
        <f t="array" ref="N24">IFERROR(_xll.FDS($A$1,""&amp;$B24&amp;"("&amp;(CHOOSE($F$1,$Z$4,#REF!))&amp;","&amp;N$7&amp;",,,,"&amp;$H$1&amp;")"),"")</f>
        <v>8.58</v>
      </c>
      <c r="O24" s="51" cm="1">
        <f t="array" ref="O24">IFERROR(_xll.FDS($A$1,""&amp;$B24&amp;"("&amp;(CHOOSE($F$1,$Z$4,#REF!))&amp;","&amp;O$7&amp;",,,,"&amp;$H$1&amp;")"),"")</f>
        <v>8.8170000000000002</v>
      </c>
    </row>
    <row r="25" spans="1:15" x14ac:dyDescent="0.3">
      <c r="A25" s="44" t="s">
        <v>133</v>
      </c>
      <c r="B25" t="s">
        <v>356</v>
      </c>
      <c r="E25" s="52" cm="1">
        <f t="array" ref="E25">IFERROR(_xll.FDS($A$1,""&amp;$B25&amp;"("&amp;(CHOOSE($F$1,$Z$4,#REF!))&amp;","&amp;E$7&amp;",,,,"&amp;$H$1&amp;")"),"")</f>
        <v>3.02</v>
      </c>
      <c r="F25" s="52" cm="1">
        <f t="array" ref="F25">IFERROR(_xll.FDS($A$1,""&amp;$B25&amp;"("&amp;(CHOOSE($F$1,$Z$4,#REF!))&amp;","&amp;F$7&amp;",,,,"&amp;$H$1&amp;")"),"")</f>
        <v>5.63</v>
      </c>
      <c r="G25" s="52" cm="1">
        <f t="array" ref="G25">IFERROR(_xll.FDS($A$1,""&amp;$B25&amp;"("&amp;(CHOOSE($F$1,$Z$4,#REF!))&amp;","&amp;G$7&amp;",,,,"&amp;$H$1&amp;")"),"")</f>
        <v>5.3608000000000002</v>
      </c>
      <c r="H25" s="52" cm="1">
        <f t="array" ref="H25">IFERROR(_xll.FDS($A$1,""&amp;$B25&amp;"("&amp;(CHOOSE($F$1,$Z$4,#REF!))&amp;","&amp;H$7&amp;",,,,"&amp;$H$1&amp;")"),"")</f>
        <v>5.8977000000000004</v>
      </c>
      <c r="I25" s="52" cm="1">
        <f t="array" ref="I25">IFERROR(_xll.FDS($A$1,""&amp;$B25&amp;"("&amp;(CHOOSE($F$1,$Z$4,#REF!))&amp;","&amp;I$7&amp;",,,,"&amp;$H$1&amp;")"),"")</f>
        <v>2.9173</v>
      </c>
      <c r="J25" s="52" cm="1">
        <f t="array" ref="J25">IFERROR(_xll.FDS($A$1,""&amp;$B25&amp;"("&amp;(CHOOSE($F$1,$Z$4,#REF!))&amp;","&amp;J$7&amp;",,,,"&amp;$H$1&amp;")"),"")</f>
        <v>-0.74919999999999998</v>
      </c>
      <c r="K25" s="52" cm="1">
        <f t="array" ref="K25">IFERROR(_xll.FDS($A$1,""&amp;$B25&amp;"("&amp;(CHOOSE($F$1,$Z$4,#REF!))&amp;","&amp;K$7&amp;",,,,"&amp;$H$1&amp;")"),"")</f>
        <v>2.3359000000000001</v>
      </c>
      <c r="L25" s="52" cm="1">
        <f t="array" ref="L25">IFERROR(_xll.FDS($A$1,""&amp;$B25&amp;"("&amp;(CHOOSE($F$1,$Z$4,#REF!))&amp;","&amp;L$7&amp;",,,,"&amp;$H$1&amp;")"),"")</f>
        <v>3.3088000000000002</v>
      </c>
      <c r="M25" s="52" cm="1">
        <f t="array" ref="M25">IFERROR(_xll.FDS($A$1,""&amp;$B25&amp;"("&amp;(CHOOSE($F$1,$Z$4,#REF!))&amp;","&amp;M$7&amp;",,,,"&amp;$H$1&amp;")"),"")</f>
        <v>3.4891000000000001</v>
      </c>
      <c r="N25" s="52" cm="1">
        <f t="array" ref="N25">IFERROR(_xll.FDS($A$1,""&amp;$B25&amp;"("&amp;(CHOOSE($F$1,$Z$4,#REF!))&amp;","&amp;N$7&amp;",,,,"&amp;$H$1&amp;")"),"")</f>
        <v>0.2135</v>
      </c>
      <c r="O25" s="52" cm="1">
        <f t="array" ref="O25">IFERROR(_xll.FDS($A$1,""&amp;$B25&amp;"("&amp;(CHOOSE($F$1,$Z$4,#REF!))&amp;","&amp;O$7&amp;",,,,"&amp;$H$1&amp;")"),"")</f>
        <v>-6.2434000000000003</v>
      </c>
    </row>
    <row r="26" spans="1:15" x14ac:dyDescent="0.3">
      <c r="A26" s="44"/>
      <c r="E26" s="57"/>
      <c r="F26" s="57"/>
      <c r="G26" s="57"/>
      <c r="H26" s="57"/>
      <c r="I26" s="57"/>
      <c r="J26" s="57"/>
      <c r="K26" s="57"/>
      <c r="L26" s="57"/>
      <c r="M26" s="57"/>
      <c r="N26" s="57"/>
      <c r="O26" s="57"/>
    </row>
    <row r="27" spans="1:15" x14ac:dyDescent="0.3">
      <c r="A27" s="36" t="s">
        <v>357</v>
      </c>
      <c r="E27" s="57"/>
      <c r="F27" s="57"/>
      <c r="G27" s="57"/>
      <c r="H27" s="57"/>
      <c r="I27" s="57"/>
      <c r="J27" s="57"/>
      <c r="K27" s="57"/>
      <c r="L27" s="57"/>
      <c r="M27" s="57"/>
      <c r="N27" s="57"/>
      <c r="O27" s="57"/>
    </row>
    <row r="28" spans="1:15" x14ac:dyDescent="0.3">
      <c r="A28" s="45" t="s">
        <v>135</v>
      </c>
      <c r="B28" t="s">
        <v>358</v>
      </c>
      <c r="E28" s="49" t="str" cm="1">
        <f t="array" ref="E28">IFERROR(_xll.FDS($A$1,""&amp;$B28&amp;"("&amp;(CHOOSE($F$1,$Z$4,$AA$4))&amp;","&amp;E$7&amp;",,,,"&amp;$H$1&amp;")"),"")</f>
        <v/>
      </c>
      <c r="F28" s="49" t="str" cm="1">
        <f t="array" ref="F28">IFERROR(_xll.FDS($A$1,""&amp;$B28&amp;"("&amp;(CHOOSE($F$1,$Z$4,$AA$4))&amp;","&amp;F$7&amp;",,,,"&amp;$H$1&amp;")"),"")</f>
        <v/>
      </c>
      <c r="G28" s="49" t="str" cm="1">
        <f t="array" ref="G28">IFERROR(_xll.FDS($A$1,""&amp;$B28&amp;"("&amp;(CHOOSE($F$1,$Z$4,$AA$4))&amp;","&amp;G$7&amp;",,,,"&amp;$H$1&amp;")"),"")</f>
        <v/>
      </c>
      <c r="H28" s="49" t="str" cm="1">
        <f t="array" ref="H28">IFERROR(_xll.FDS($A$1,""&amp;$B28&amp;"("&amp;(CHOOSE($F$1,$Z$4,$AA$4))&amp;","&amp;H$7&amp;",,,,"&amp;$H$1&amp;")"),"")</f>
        <v/>
      </c>
      <c r="I28" s="49" t="str" cm="1">
        <f t="array" ref="I28">IFERROR(_xll.FDS($A$1,""&amp;$B28&amp;"("&amp;(CHOOSE($F$1,$Z$4,$AA$4))&amp;","&amp;I$7&amp;",,,,"&amp;$H$1&amp;")"),"")</f>
        <v/>
      </c>
      <c r="J28" s="49" t="str" cm="1">
        <f t="array" ref="J28">IFERROR(_xll.FDS($A$1,""&amp;$B28&amp;"("&amp;(CHOOSE($F$1,$Z$4,$AA$4))&amp;","&amp;J$7&amp;",,,,"&amp;$H$1&amp;")"),"")</f>
        <v/>
      </c>
      <c r="K28" s="49" t="str" cm="1">
        <f t="array" ref="K28">IFERROR(_xll.FDS($A$1,""&amp;$B28&amp;"("&amp;(CHOOSE($F$1,$Z$4,$AA$4))&amp;","&amp;K$7&amp;",,,,"&amp;$H$1&amp;")"),"")</f>
        <v/>
      </c>
      <c r="L28" s="49" t="str" cm="1">
        <f t="array" ref="L28">IFERROR(_xll.FDS($A$1,""&amp;$B28&amp;"("&amp;(CHOOSE($F$1,$Z$4,$AA$4))&amp;","&amp;L$7&amp;",,,,"&amp;$H$1&amp;")"),"")</f>
        <v/>
      </c>
      <c r="M28" s="49" t="str" cm="1">
        <f t="array" ref="M28">IFERROR(_xll.FDS($A$1,""&amp;$B28&amp;"("&amp;(CHOOSE($F$1,$Z$4,$AA$4))&amp;","&amp;M$7&amp;",,,,"&amp;$H$1&amp;")"),"")</f>
        <v/>
      </c>
      <c r="N28" s="49" t="str" cm="1">
        <f t="array" ref="N28">IFERROR(_xll.FDS($A$1,""&amp;$B28&amp;"("&amp;(CHOOSE($F$1,$Z$4,$AA$4))&amp;","&amp;N$7&amp;",,,,"&amp;$H$1&amp;")"),"")</f>
        <v/>
      </c>
      <c r="O28" s="49" t="str" cm="1">
        <f t="array" ref="O28">IFERROR(_xll.FDS($A$1,""&amp;$B28&amp;"("&amp;(CHOOSE($F$1,$Z$4,$AA$4))&amp;","&amp;O$7&amp;",,,,"&amp;$H$1&amp;")"),"")</f>
        <v/>
      </c>
    </row>
    <row r="29" spans="1:15" x14ac:dyDescent="0.3">
      <c r="A29" s="45" t="s">
        <v>136</v>
      </c>
      <c r="B29" t="s">
        <v>359</v>
      </c>
      <c r="E29" s="49" t="str" cm="1">
        <f t="array" ref="E29">IFERROR(_xll.FDS($A$1,""&amp;$B29&amp;"("&amp;(CHOOSE($F$1,$Z$4,$AA$4))&amp;","&amp;E$7&amp;",,,,"&amp;$H$1&amp;")"),"")</f>
        <v/>
      </c>
      <c r="F29" s="49" t="str" cm="1">
        <f t="array" ref="F29">IFERROR(_xll.FDS($A$1,""&amp;$B29&amp;"("&amp;(CHOOSE($F$1,$Z$4,$AA$4))&amp;","&amp;F$7&amp;",,,,"&amp;$H$1&amp;")"),"")</f>
        <v/>
      </c>
      <c r="G29" s="49" t="str" cm="1">
        <f t="array" ref="G29">IFERROR(_xll.FDS($A$1,""&amp;$B29&amp;"("&amp;(CHOOSE($F$1,$Z$4,$AA$4))&amp;","&amp;G$7&amp;",,,,"&amp;$H$1&amp;")"),"")</f>
        <v/>
      </c>
      <c r="H29" s="49" t="str" cm="1">
        <f t="array" ref="H29">IFERROR(_xll.FDS($A$1,""&amp;$B29&amp;"("&amp;(CHOOSE($F$1,$Z$4,$AA$4))&amp;","&amp;H$7&amp;",,,,"&amp;$H$1&amp;")"),"")</f>
        <v/>
      </c>
      <c r="I29" s="49" t="str" cm="1">
        <f t="array" ref="I29">IFERROR(_xll.FDS($A$1,""&amp;$B29&amp;"("&amp;(CHOOSE($F$1,$Z$4,$AA$4))&amp;","&amp;I$7&amp;",,,,"&amp;$H$1&amp;")"),"")</f>
        <v/>
      </c>
      <c r="J29" s="49" t="str" cm="1">
        <f t="array" ref="J29">IFERROR(_xll.FDS($A$1,""&amp;$B29&amp;"("&amp;(CHOOSE($F$1,$Z$4,$AA$4))&amp;","&amp;J$7&amp;",,,,"&amp;$H$1&amp;")"),"")</f>
        <v/>
      </c>
      <c r="K29" s="49" t="str" cm="1">
        <f t="array" ref="K29">IFERROR(_xll.FDS($A$1,""&amp;$B29&amp;"("&amp;(CHOOSE($F$1,$Z$4,$AA$4))&amp;","&amp;K$7&amp;",,,,"&amp;$H$1&amp;")"),"")</f>
        <v/>
      </c>
      <c r="L29" s="49" t="str" cm="1">
        <f t="array" ref="L29">IFERROR(_xll.FDS($A$1,""&amp;$B29&amp;"("&amp;(CHOOSE($F$1,$Z$4,$AA$4))&amp;","&amp;L$7&amp;",,,,"&amp;$H$1&amp;")"),"")</f>
        <v/>
      </c>
      <c r="M29" s="49" t="str" cm="1">
        <f t="array" ref="M29">IFERROR(_xll.FDS($A$1,""&amp;$B29&amp;"("&amp;(CHOOSE($F$1,$Z$4,$AA$4))&amp;","&amp;M$7&amp;",,,,"&amp;$H$1&amp;")"),"")</f>
        <v/>
      </c>
      <c r="N29" s="49" t="str" cm="1">
        <f t="array" ref="N29">IFERROR(_xll.FDS($A$1,""&amp;$B29&amp;"("&amp;(CHOOSE($F$1,$Z$4,$AA$4))&amp;","&amp;N$7&amp;",,,,"&amp;$H$1&amp;")"),"")</f>
        <v/>
      </c>
      <c r="O29" s="49" t="str" cm="1">
        <f t="array" ref="O29">IFERROR(_xll.FDS($A$1,""&amp;$B29&amp;"("&amp;(CHOOSE($F$1,$Z$4,$AA$4))&amp;","&amp;O$7&amp;",,,,"&amp;$H$1&amp;")"),"")</f>
        <v/>
      </c>
    </row>
    <row r="30" spans="1:15" x14ac:dyDescent="0.3">
      <c r="A30" s="45"/>
      <c r="E30" s="49"/>
      <c r="F30" s="49"/>
      <c r="G30" s="49"/>
      <c r="H30" s="49"/>
      <c r="I30" s="49"/>
      <c r="J30" s="49"/>
      <c r="K30" s="49"/>
      <c r="L30" s="49"/>
      <c r="M30" s="49"/>
      <c r="N30" s="49"/>
      <c r="O30" s="49"/>
    </row>
    <row r="31" spans="1:15" x14ac:dyDescent="0.3">
      <c r="A31" s="45" t="s">
        <v>138</v>
      </c>
      <c r="B31" t="s">
        <v>360</v>
      </c>
      <c r="E31" s="49" t="str" cm="1">
        <f t="array" ref="E31">IFERROR(_xll.FDS($A$1,""&amp;$B31&amp;"("&amp;(CHOOSE($F$1,$Z$4,$AA$4))&amp;","&amp;E$7&amp;",,,,"&amp;$H$1&amp;")"),"")</f>
        <v/>
      </c>
      <c r="F31" s="49" t="str" cm="1">
        <f t="array" ref="F31">IFERROR(_xll.FDS($A$1,""&amp;$B31&amp;"("&amp;(CHOOSE($F$1,$Z$4,$AA$4))&amp;","&amp;F$7&amp;",,,,"&amp;$H$1&amp;")"),"")</f>
        <v/>
      </c>
      <c r="G31" s="49" t="str" cm="1">
        <f t="array" ref="G31">IFERROR(_xll.FDS($A$1,""&amp;$B31&amp;"("&amp;(CHOOSE($F$1,$Z$4,$AA$4))&amp;","&amp;G$7&amp;",,,,"&amp;$H$1&amp;")"),"")</f>
        <v/>
      </c>
      <c r="H31" s="49" t="str" cm="1">
        <f t="array" ref="H31">IFERROR(_xll.FDS($A$1,""&amp;$B31&amp;"("&amp;(CHOOSE($F$1,$Z$4,$AA$4))&amp;","&amp;H$7&amp;",,,,"&amp;$H$1&amp;")"),"")</f>
        <v/>
      </c>
      <c r="I31" s="49" t="str" cm="1">
        <f t="array" ref="I31">IFERROR(_xll.FDS($A$1,""&amp;$B31&amp;"("&amp;(CHOOSE($F$1,$Z$4,$AA$4))&amp;","&amp;I$7&amp;",,,,"&amp;$H$1&amp;")"),"")</f>
        <v/>
      </c>
      <c r="J31" s="49" t="str" cm="1">
        <f t="array" ref="J31">IFERROR(_xll.FDS($A$1,""&amp;$B31&amp;"("&amp;(CHOOSE($F$1,$Z$4,$AA$4))&amp;","&amp;J$7&amp;",,,,"&amp;$H$1&amp;")"),"")</f>
        <v/>
      </c>
      <c r="K31" s="49" t="str" cm="1">
        <f t="array" ref="K31">IFERROR(_xll.FDS($A$1,""&amp;$B31&amp;"("&amp;(CHOOSE($F$1,$Z$4,$AA$4))&amp;","&amp;K$7&amp;",,,,"&amp;$H$1&amp;")"),"")</f>
        <v/>
      </c>
      <c r="L31" s="49" t="str" cm="1">
        <f t="array" ref="L31">IFERROR(_xll.FDS($A$1,""&amp;$B31&amp;"("&amp;(CHOOSE($F$1,$Z$4,$AA$4))&amp;","&amp;L$7&amp;",,,,"&amp;$H$1&amp;")"),"")</f>
        <v/>
      </c>
      <c r="M31" s="49" t="str" cm="1">
        <f t="array" ref="M31">IFERROR(_xll.FDS($A$1,""&amp;$B31&amp;"("&amp;(CHOOSE($F$1,$Z$4,$AA$4))&amp;","&amp;M$7&amp;",,,,"&amp;$H$1&amp;")"),"")</f>
        <v/>
      </c>
      <c r="N31" s="49" t="str" cm="1">
        <f t="array" ref="N31">IFERROR(_xll.FDS($A$1,""&amp;$B31&amp;"("&amp;(CHOOSE($F$1,$Z$4,$AA$4))&amp;","&amp;N$7&amp;",,,,"&amp;$H$1&amp;")"),"")</f>
        <v/>
      </c>
      <c r="O31" s="49" t="str" cm="1">
        <f t="array" ref="O31">IFERROR(_xll.FDS($A$1,""&amp;$B31&amp;"("&amp;(CHOOSE($F$1,$Z$4,$AA$4))&amp;","&amp;O$7&amp;",,,,"&amp;$H$1&amp;")"),"")</f>
        <v/>
      </c>
    </row>
    <row r="32" spans="1:15" x14ac:dyDescent="0.3">
      <c r="A32" s="45" t="s">
        <v>140</v>
      </c>
      <c r="B32" t="s">
        <v>361</v>
      </c>
      <c r="E32" s="49" cm="1">
        <f t="array" ref="E32">IFERROR(_xll.FDS($A$1,""&amp;$B32&amp;"("&amp;(CHOOSE($F$1,$Z$4,$AA$4))&amp;","&amp;E$7&amp;",,,,"&amp;$H$1&amp;")"),"")</f>
        <v>242.495</v>
      </c>
      <c r="F32" s="49" cm="1">
        <f t="array" ref="F32">IFERROR(_xll.FDS($A$1,""&amp;$B32&amp;"("&amp;(CHOOSE($F$1,$Z$4,$AA$4))&amp;","&amp;F$7&amp;",,,,"&amp;$H$1&amp;")"),"")</f>
        <v>320.40100000000001</v>
      </c>
      <c r="G32" s="49" cm="1">
        <f t="array" ref="G32">IFERROR(_xll.FDS($A$1,""&amp;$B32&amp;"("&amp;(CHOOSE($F$1,$Z$4,$AA$4))&amp;","&amp;G$7&amp;",,,,"&amp;$H$1&amp;")"),"")</f>
        <v>363.06700000000001</v>
      </c>
      <c r="H32" s="49" cm="1">
        <f t="array" ref="H32">IFERROR(_xll.FDS($A$1,""&amp;$B32&amp;"("&amp;(CHOOSE($F$1,$Z$4,$AA$4))&amp;","&amp;H$7&amp;",,,,"&amp;$H$1&amp;")"),"")</f>
        <v>329.92500000000001</v>
      </c>
      <c r="I32" s="49" cm="1">
        <f t="array" ref="I32">IFERROR(_xll.FDS($A$1,""&amp;$B32&amp;"("&amp;(CHOOSE($F$1,$Z$4,$AA$4))&amp;","&amp;I$7&amp;",,,,"&amp;$H$1&amp;")"),"")</f>
        <v>311.34399999999999</v>
      </c>
      <c r="J32" s="49" cm="1">
        <f t="array" ref="J32">IFERROR(_xll.FDS($A$1,""&amp;$B32&amp;"("&amp;(CHOOSE($F$1,$Z$4,$AA$4))&amp;","&amp;J$7&amp;",,,,"&amp;$H$1&amp;")"),"")</f>
        <v>330.43200000000002</v>
      </c>
      <c r="K32" s="49" cm="1">
        <f t="array" ref="K32">IFERROR(_xll.FDS($A$1,""&amp;$B32&amp;"("&amp;(CHOOSE($F$1,$Z$4,$AA$4))&amp;","&amp;K$7&amp;",,,,"&amp;$H$1&amp;")"),"")</f>
        <v>379.77699999999999</v>
      </c>
      <c r="L32" s="49" cm="1">
        <f t="array" ref="L32">IFERROR(_xll.FDS($A$1,""&amp;$B32&amp;"("&amp;(CHOOSE($F$1,$Z$4,$AA$4))&amp;","&amp;L$7&amp;",,,,"&amp;$H$1&amp;")"),"")</f>
        <v>326.22899999999998</v>
      </c>
      <c r="M32" s="49" cm="1">
        <f t="array" ref="M32">IFERROR(_xll.FDS($A$1,""&amp;$B32&amp;"("&amp;(CHOOSE($F$1,$Z$4,$AA$4))&amp;","&amp;M$7&amp;",,,,"&amp;$H$1&amp;")"),"")</f>
        <v>539.44299999999998</v>
      </c>
      <c r="N32" s="49" cm="1">
        <f t="array" ref="N32">IFERROR(_xll.FDS($A$1,""&amp;$B32&amp;"("&amp;(CHOOSE($F$1,$Z$4,$AA$4))&amp;","&amp;N$7&amp;",,,,"&amp;$H$1&amp;")"),"")</f>
        <v>717.827</v>
      </c>
      <c r="O32" s="49" cm="1">
        <f t="array" ref="O32">IFERROR(_xll.FDS($A$1,""&amp;$B32&amp;"("&amp;(CHOOSE($F$1,$Z$4,$AA$4))&amp;","&amp;O$7&amp;",,,,"&amp;$H$1&amp;")"),"")</f>
        <v>559.19000000000005</v>
      </c>
    </row>
    <row r="33" spans="1:15" x14ac:dyDescent="0.3">
      <c r="A33" s="45" t="s">
        <v>142</v>
      </c>
      <c r="B33" t="s">
        <v>362</v>
      </c>
      <c r="E33" s="49" cm="1">
        <f t="array" ref="E33">IFERROR(_xll.FDS($A$1,""&amp;$B33&amp;"("&amp;(CHOOSE($F$1,$Z$4,$AA$4))&amp;","&amp;E$7&amp;",,,,"&amp;$H$1&amp;")"),"")</f>
        <v>10.853</v>
      </c>
      <c r="F33" s="49" cm="1">
        <f t="array" ref="F33">IFERROR(_xll.FDS($A$1,""&amp;$B33&amp;"("&amp;(CHOOSE($F$1,$Z$4,$AA$4))&amp;","&amp;F$7&amp;",,,,"&amp;$H$1&amp;")"),"")</f>
        <v>13.132</v>
      </c>
      <c r="G33" s="49" cm="1">
        <f t="array" ref="G33">IFERROR(_xll.FDS($A$1,""&amp;$B33&amp;"("&amp;(CHOOSE($F$1,$Z$4,$AA$4))&amp;","&amp;G$7&amp;",,,,"&amp;$H$1&amp;")"),"")</f>
        <v>12.292</v>
      </c>
      <c r="H33" s="49" cm="1">
        <f t="array" ref="H33">IFERROR(_xll.FDS($A$1,""&amp;$B33&amp;"("&amp;(CHOOSE($F$1,$Z$4,$AA$4))&amp;","&amp;H$7&amp;",,,,"&amp;$H$1&amp;")"),"")</f>
        <v>11.786</v>
      </c>
      <c r="I33" s="49" cm="1">
        <f t="array" ref="I33">IFERROR(_xll.FDS($A$1,""&amp;$B33&amp;"("&amp;(CHOOSE($F$1,$Z$4,$AA$4))&amp;","&amp;I$7&amp;",,,,"&amp;$H$1&amp;")"),"")</f>
        <v>11.374000000000001</v>
      </c>
      <c r="J33" s="49" cm="1">
        <f t="array" ref="J33">IFERROR(_xll.FDS($A$1,""&amp;$B33&amp;"("&amp;(CHOOSE($F$1,$Z$4,$AA$4))&amp;","&amp;J$7&amp;",,,,"&amp;$H$1&amp;")"),"")</f>
        <v>12.465</v>
      </c>
      <c r="K33" s="49" cm="1">
        <f t="array" ref="K33">IFERROR(_xll.FDS($A$1,""&amp;$B33&amp;"("&amp;(CHOOSE($F$1,$Z$4,$AA$4))&amp;","&amp;K$7&amp;",,,,"&amp;$H$1&amp;")"),"")</f>
        <v>13.337999999999999</v>
      </c>
      <c r="L33" s="49" cm="1">
        <f t="array" ref="L33">IFERROR(_xll.FDS($A$1,""&amp;$B33&amp;"("&amp;(CHOOSE($F$1,$Z$4,$AA$4))&amp;","&amp;L$7&amp;",,,,"&amp;$H$1&amp;")"),"")</f>
        <v>15.182</v>
      </c>
      <c r="M33" s="49" cm="1">
        <f t="array" ref="M33">IFERROR(_xll.FDS($A$1,""&amp;$B33&amp;"("&amp;(CHOOSE($F$1,$Z$4,$AA$4))&amp;","&amp;M$7&amp;",,,,"&amp;$H$1&amp;")"),"")</f>
        <v>16.768999999999998</v>
      </c>
      <c r="N33" s="49" cm="1">
        <f t="array" ref="N33">IFERROR(_xll.FDS($A$1,""&amp;$B33&amp;"("&amp;(CHOOSE($F$1,$Z$4,$AA$4))&amp;","&amp;N$7&amp;",,,,"&amp;$H$1&amp;")"),"")</f>
        <v>16.436</v>
      </c>
      <c r="O33" s="49" cm="1">
        <f t="array" ref="O33">IFERROR(_xll.FDS($A$1,""&amp;$B33&amp;"("&amp;(CHOOSE($F$1,$Z$4,$AA$4))&amp;","&amp;O$7&amp;",,,,"&amp;$H$1&amp;")"),"")</f>
        <v>18.687000000000001</v>
      </c>
    </row>
    <row r="34" spans="1:15" x14ac:dyDescent="0.3">
      <c r="A34" s="45" t="s">
        <v>143</v>
      </c>
      <c r="B34" t="s">
        <v>363</v>
      </c>
      <c r="E34" s="49" cm="1">
        <f t="array" ref="E34">IFERROR(_xll.FDS($A$1,""&amp;$B34&amp;"("&amp;(CHOOSE($F$1,$Z$4,$AA$4))&amp;","&amp;E$7&amp;",,,,"&amp;$H$1&amp;")"),"")</f>
        <v>0</v>
      </c>
      <c r="F34" s="49" cm="1">
        <f t="array" ref="F34">IFERROR(_xll.FDS($A$1,""&amp;$B34&amp;"("&amp;(CHOOSE($F$1,$Z$4,$AA$4))&amp;","&amp;F$7&amp;",,,,"&amp;$H$1&amp;")"),"")</f>
        <v>0</v>
      </c>
      <c r="G34" s="49" cm="1">
        <f t="array" ref="G34">IFERROR(_xll.FDS($A$1,""&amp;$B34&amp;"("&amp;(CHOOSE($F$1,$Z$4,$AA$4))&amp;","&amp;G$7&amp;",,,,"&amp;$H$1&amp;")"),"")</f>
        <v>0</v>
      </c>
      <c r="H34" s="49" cm="1">
        <f t="array" ref="H34">IFERROR(_xll.FDS($A$1,""&amp;$B34&amp;"("&amp;(CHOOSE($F$1,$Z$4,$AA$4))&amp;","&amp;H$7&amp;",,,,"&amp;$H$1&amp;")"),"")</f>
        <v>0</v>
      </c>
      <c r="I34" s="49" cm="1">
        <f t="array" ref="I34">IFERROR(_xll.FDS($A$1,""&amp;$B34&amp;"("&amp;(CHOOSE($F$1,$Z$4,$AA$4))&amp;","&amp;I$7&amp;",,,,"&amp;$H$1&amp;")"),"")</f>
        <v>4.899</v>
      </c>
      <c r="J34" s="49" cm="1">
        <f t="array" ref="J34">IFERROR(_xll.FDS($A$1,""&amp;$B34&amp;"("&amp;(CHOOSE($F$1,$Z$4,$AA$4))&amp;","&amp;J$7&amp;",,,,"&amp;$H$1&amp;")"),"")</f>
        <v>4.9950000000000001</v>
      </c>
      <c r="K34" s="49" cm="1">
        <f t="array" ref="K34">IFERROR(_xll.FDS($A$1,""&amp;$B34&amp;"("&amp;(CHOOSE($F$1,$Z$4,$AA$4))&amp;","&amp;K$7&amp;",,,,"&amp;$H$1&amp;")"),"")</f>
        <v>4.8</v>
      </c>
      <c r="L34" s="49" cm="1">
        <f t="array" ref="L34">IFERROR(_xll.FDS($A$1,""&amp;$B34&amp;"("&amp;(CHOOSE($F$1,$Z$4,$AA$4))&amp;","&amp;L$7&amp;",,,,"&amp;$H$1&amp;")"),"")</f>
        <v>4.1920000000000002</v>
      </c>
      <c r="M34" s="49" cm="1">
        <f t="array" ref="M34">IFERROR(_xll.FDS($A$1,""&amp;$B34&amp;"("&amp;(CHOOSE($F$1,$Z$4,$AA$4))&amp;","&amp;M$7&amp;",,,,"&amp;$H$1&amp;")"),"")</f>
        <v>3.5680000000000001</v>
      </c>
      <c r="N34" s="49" cm="1">
        <f t="array" ref="N34">IFERROR(_xll.FDS($A$1,""&amp;$B34&amp;"("&amp;(CHOOSE($F$1,$Z$4,$AA$4))&amp;","&amp;N$7&amp;",,,,"&amp;$H$1&amp;")"),"")</f>
        <v>10.635999999999999</v>
      </c>
      <c r="O34" s="49" cm="1">
        <f t="array" ref="O34">IFERROR(_xll.FDS($A$1,""&amp;$B34&amp;"("&amp;(CHOOSE($F$1,$Z$4,$AA$4))&amp;","&amp;O$7&amp;",,,,"&amp;$H$1&amp;")"),"")</f>
        <v>10.577999999999999</v>
      </c>
    </row>
    <row r="35" spans="1:15" x14ac:dyDescent="0.3">
      <c r="A35" s="46" t="s">
        <v>144</v>
      </c>
      <c r="B35" t="s">
        <v>364</v>
      </c>
      <c r="E35" s="49" cm="1">
        <f t="array" ref="E35">IFERROR(_xll.FDS($A$1,""&amp;$B35&amp;"("&amp;(CHOOSE($F$1,$Z$4,$AA$4))&amp;","&amp;E$7&amp;",,,,"&amp;$H$1&amp;")"),"")</f>
        <v>336.20499999999998</v>
      </c>
      <c r="F35" s="49" cm="1">
        <f t="array" ref="F35">IFERROR(_xll.FDS($A$1,""&amp;$B35&amp;"("&amp;(CHOOSE($F$1,$Z$4,$AA$4))&amp;","&amp;F$7&amp;",,,,"&amp;$H$1&amp;")"),"")</f>
        <v>510.30500000000001</v>
      </c>
      <c r="G35" s="49" cm="1">
        <f t="array" ref="G35">IFERROR(_xll.FDS($A$1,""&amp;$B35&amp;"("&amp;(CHOOSE($F$1,$Z$4,$AA$4))&amp;","&amp;G$7&amp;",,,,"&amp;$H$1&amp;")"),"")</f>
        <v>578.31700000000001</v>
      </c>
      <c r="H35" s="49" cm="1">
        <f t="array" ref="H35">IFERROR(_xll.FDS($A$1,""&amp;$B35&amp;"("&amp;(CHOOSE($F$1,$Z$4,$AA$4))&amp;","&amp;H$7&amp;",,,,"&amp;$H$1&amp;")"),"")</f>
        <v>609.78499999999997</v>
      </c>
      <c r="I35" s="49" cm="1">
        <f t="array" ref="I35">IFERROR(_xll.FDS($A$1,""&amp;$B35&amp;"("&amp;(CHOOSE($F$1,$Z$4,$AA$4))&amp;","&amp;I$7&amp;",,,,"&amp;$H$1&amp;")"),"")</f>
        <v>660.79899999999998</v>
      </c>
      <c r="J35" s="49" cm="1">
        <f t="array" ref="J35">IFERROR(_xll.FDS($A$1,""&amp;$B35&amp;"("&amp;(CHOOSE($F$1,$Z$4,$AA$4))&amp;","&amp;J$7&amp;",,,,"&amp;$H$1&amp;")"),"")</f>
        <v>729.56100000000004</v>
      </c>
      <c r="K35" s="49" cm="1">
        <f t="array" ref="K35">IFERROR(_xll.FDS($A$1,""&amp;$B35&amp;"("&amp;(CHOOSE($F$1,$Z$4,$AA$4))&amp;","&amp;K$7&amp;",,,,"&amp;$H$1&amp;")"),"")</f>
        <v>702.27</v>
      </c>
      <c r="L35" s="49" cm="1">
        <f t="array" ref="L35">IFERROR(_xll.FDS($A$1,""&amp;$B35&amp;"("&amp;(CHOOSE($F$1,$Z$4,$AA$4))&amp;","&amp;L$7&amp;",,,,"&amp;$H$1&amp;")"),"")</f>
        <v>662.29100000000005</v>
      </c>
      <c r="M35" s="49" cm="1">
        <f t="array" ref="M35">IFERROR(_xll.FDS($A$1,""&amp;$B35&amp;"("&amp;(CHOOSE($F$1,$Z$4,$AA$4))&amp;","&amp;M$7&amp;",,,,"&amp;$H$1&amp;")"),"")</f>
        <v>834.19299999999998</v>
      </c>
      <c r="N35" s="49" cm="1">
        <f t="array" ref="N35">IFERROR(_xll.FDS($A$1,""&amp;$B35&amp;"("&amp;(CHOOSE($F$1,$Z$4,$AA$4))&amp;","&amp;N$7&amp;",,,,"&amp;$H$1&amp;")"),"")</f>
        <v>1093.76</v>
      </c>
      <c r="O35" s="49" cm="1">
        <f t="array" ref="O35">IFERROR(_xll.FDS($A$1,""&amp;$B35&amp;"("&amp;(CHOOSE($F$1,$Z$4,$AA$4))&amp;","&amp;O$7&amp;",,,,"&amp;$H$1&amp;")"),"")</f>
        <v>1078.665</v>
      </c>
    </row>
    <row r="36" spans="1:15" x14ac:dyDescent="0.3">
      <c r="A36" s="3"/>
      <c r="E36" s="57"/>
      <c r="F36" s="57"/>
      <c r="G36" s="57"/>
      <c r="H36" s="57"/>
      <c r="I36" s="57"/>
      <c r="J36" s="57"/>
      <c r="K36" s="57"/>
      <c r="L36" s="57"/>
      <c r="M36" s="57"/>
      <c r="N36" s="57"/>
      <c r="O36" s="57"/>
    </row>
    <row r="37" spans="1:15" x14ac:dyDescent="0.3">
      <c r="A37" s="45" t="s">
        <v>145</v>
      </c>
      <c r="B37" t="s">
        <v>365</v>
      </c>
      <c r="E37" s="49" cm="1">
        <f t="array" ref="E37">IFERROR(_xll.FDS($A$1,""&amp;$B37&amp;"("&amp;(CHOOSE($F$1,$Z$4,$AA$4))&amp;","&amp;E$7&amp;",,,,"&amp;$H$1&amp;")"),"")</f>
        <v>1.377</v>
      </c>
      <c r="F37" s="49" cm="1">
        <f t="array" ref="F37">IFERROR(_xll.FDS($A$1,""&amp;$B37&amp;"("&amp;(CHOOSE($F$1,$Z$4,$AA$4))&amp;","&amp;F$7&amp;",,,,"&amp;$H$1&amp;")"),"")</f>
        <v>4.66</v>
      </c>
      <c r="G37" s="49" cm="1">
        <f t="array" ref="G37">IFERROR(_xll.FDS($A$1,""&amp;$B37&amp;"("&amp;(CHOOSE($F$1,$Z$4,$AA$4))&amp;","&amp;G$7&amp;",,,,"&amp;$H$1&amp;")"),"")</f>
        <v>0.218</v>
      </c>
      <c r="H37" s="49" cm="1">
        <f t="array" ref="H37">IFERROR(_xll.FDS($A$1,""&amp;$B37&amp;"("&amp;(CHOOSE($F$1,$Z$4,$AA$4))&amp;","&amp;H$7&amp;",,,,"&amp;$H$1&amp;")"),"")</f>
        <v>1.0840000000000001</v>
      </c>
      <c r="I37" s="49" cm="1">
        <f t="array" ref="I37">IFERROR(_xll.FDS($A$1,""&amp;$B37&amp;"("&amp;(CHOOSE($F$1,$Z$4,$AA$4))&amp;","&amp;I$7&amp;",,,,"&amp;$H$1&amp;")"),"")</f>
        <v>3.294</v>
      </c>
      <c r="J37" s="49" cm="1">
        <f t="array" ref="J37">IFERROR(_xll.FDS($A$1,""&amp;$B37&amp;"("&amp;(CHOOSE($F$1,$Z$4,$AA$4))&amp;","&amp;J$7&amp;",,,,"&amp;$H$1&amp;")"),"")</f>
        <v>1.4999999999999999E-2</v>
      </c>
      <c r="K37" s="49" cm="1">
        <f t="array" ref="K37">IFERROR(_xll.FDS($A$1,""&amp;$B37&amp;"("&amp;(CHOOSE($F$1,$Z$4,$AA$4))&amp;","&amp;K$7&amp;",,,,"&amp;$H$1&amp;")"),"")</f>
        <v>1.4E-2</v>
      </c>
      <c r="L37" s="49" cm="1">
        <f t="array" ref="L37">IFERROR(_xll.FDS($A$1,""&amp;$B37&amp;"("&amp;(CHOOSE($F$1,$Z$4,$AA$4))&amp;","&amp;L$7&amp;",,,,"&amp;$H$1&amp;")"),"")</f>
        <v>7.5999999999999998E-2</v>
      </c>
      <c r="M37" s="49" cm="1">
        <f t="array" ref="M37">IFERROR(_xll.FDS($A$1,""&amp;$B37&amp;"("&amp;(CHOOSE($F$1,$Z$4,$AA$4))&amp;","&amp;M$7&amp;",,,,"&amp;$H$1&amp;")"),"")</f>
        <v>8.6999999999999994E-2</v>
      </c>
      <c r="N37" s="49" cm="1">
        <f t="array" ref="N37">IFERROR(_xll.FDS($A$1,""&amp;$B37&amp;"("&amp;(CHOOSE($F$1,$Z$4,$AA$4))&amp;","&amp;N$7&amp;",,,,"&amp;$H$1&amp;")"),"")</f>
        <v>23.335000000000001</v>
      </c>
      <c r="O37" s="49" cm="1">
        <f t="array" ref="O37">IFERROR(_xll.FDS($A$1,""&amp;$B37&amp;"("&amp;(CHOOSE($F$1,$Z$4,$AA$4))&amp;","&amp;O$7&amp;",,,,"&amp;$H$1&amp;")"),"")</f>
        <v>26.251999999999999</v>
      </c>
    </row>
    <row r="38" spans="1:15" x14ac:dyDescent="0.3">
      <c r="A38" s="45" t="s">
        <v>146</v>
      </c>
      <c r="B38" t="s">
        <v>366</v>
      </c>
      <c r="E38" s="49" cm="1">
        <f t="array" ref="E38">IFERROR(_xll.FDS($A$1,""&amp;$B38&amp;"("&amp;(CHOOSE($F$1,$Z$4,$AA$4))&amp;","&amp;E$7&amp;",,,,"&amp;$H$1&amp;")"),"")</f>
        <v>54.441000000000003</v>
      </c>
      <c r="F38" s="49" cm="1">
        <f t="array" ref="F38">IFERROR(_xll.FDS($A$1,""&amp;$B38&amp;"("&amp;(CHOOSE($F$1,$Z$4,$AA$4))&amp;","&amp;F$7&amp;",,,,"&amp;$H$1&amp;")"),"")</f>
        <v>52.94</v>
      </c>
      <c r="G38" s="49" cm="1">
        <f t="array" ref="G38">IFERROR(_xll.FDS($A$1,""&amp;$B38&amp;"("&amp;(CHOOSE($F$1,$Z$4,$AA$4))&amp;","&amp;G$7&amp;",,,,"&amp;$H$1&amp;")"),"")</f>
        <v>53.951999999999998</v>
      </c>
      <c r="H38" s="49" cm="1">
        <f t="array" ref="H38">IFERROR(_xll.FDS($A$1,""&amp;$B38&amp;"("&amp;(CHOOSE($F$1,$Z$4,$AA$4))&amp;","&amp;H$7&amp;",,,,"&amp;$H$1&amp;")"),"")</f>
        <v>59.09</v>
      </c>
      <c r="I38" s="49" cm="1">
        <f t="array" ref="I38">IFERROR(_xll.FDS($A$1,""&amp;$B38&amp;"("&amp;(CHOOSE($F$1,$Z$4,$AA$4))&amp;","&amp;I$7&amp;",,,,"&amp;$H$1&amp;")"),"")</f>
        <v>81.081999999999994</v>
      </c>
      <c r="J38" s="49" cm="1">
        <f t="array" ref="J38">IFERROR(_xll.FDS($A$1,""&amp;$B38&amp;"("&amp;(CHOOSE($F$1,$Z$4,$AA$4))&amp;","&amp;J$7&amp;",,,,"&amp;$H$1&amp;")"),"")</f>
        <v>116.458</v>
      </c>
      <c r="K38" s="49" cm="1">
        <f t="array" ref="K38">IFERROR(_xll.FDS($A$1,""&amp;$B38&amp;"("&amp;(CHOOSE($F$1,$Z$4,$AA$4))&amp;","&amp;K$7&amp;",,,,"&amp;$H$1&amp;")"),"")</f>
        <v>181.488</v>
      </c>
      <c r="L38" s="49" cm="1">
        <f t="array" ref="L38">IFERROR(_xll.FDS($A$1,""&amp;$B38&amp;"("&amp;(CHOOSE($F$1,$Z$4,$AA$4))&amp;","&amp;L$7&amp;",,,,"&amp;$H$1&amp;")"),"")</f>
        <v>102.494</v>
      </c>
      <c r="M38" s="49" cm="1">
        <f t="array" ref="M38">IFERROR(_xll.FDS($A$1,""&amp;$B38&amp;"("&amp;(CHOOSE($F$1,$Z$4,$AA$4))&amp;","&amp;M$7&amp;",,,,"&amp;$H$1&amp;")"),"")</f>
        <v>139.98500000000001</v>
      </c>
      <c r="N38" s="49" cm="1">
        <f t="array" ref="N38">IFERROR(_xll.FDS($A$1,""&amp;$B38&amp;"("&amp;(CHOOSE($F$1,$Z$4,$AA$4))&amp;","&amp;N$7&amp;",,,,"&amp;$H$1&amp;")"),"")</f>
        <v>201.75299999999999</v>
      </c>
      <c r="O38" s="49" cm="1">
        <f t="array" ref="O38">IFERROR(_xll.FDS($A$1,""&amp;$B38&amp;"("&amp;(CHOOSE($F$1,$Z$4,$AA$4))&amp;","&amp;O$7&amp;",,,,"&amp;$H$1&amp;")"),"")</f>
        <v>237.21899999999999</v>
      </c>
    </row>
    <row r="39" spans="1:15" x14ac:dyDescent="0.3">
      <c r="A39" s="45" t="s">
        <v>148</v>
      </c>
      <c r="B39" t="s">
        <v>367</v>
      </c>
      <c r="E39" s="49" cm="1">
        <f t="array" ref="E39">IFERROR(_xll.FDS($A$1,""&amp;$B39&amp;"("&amp;(CHOOSE($F$1,$Z$4,$AA$4))&amp;","&amp;E$7&amp;",,,,"&amp;$H$1&amp;")"),"")</f>
        <v>0</v>
      </c>
      <c r="F39" s="49" cm="1">
        <f t="array" ref="F39">IFERROR(_xll.FDS($A$1,""&amp;$B39&amp;"("&amp;(CHOOSE($F$1,$Z$4,$AA$4))&amp;","&amp;F$7&amp;",,,,"&amp;$H$1&amp;")"),"")</f>
        <v>0</v>
      </c>
      <c r="G39" s="49" cm="1">
        <f t="array" ref="G39">IFERROR(_xll.FDS($A$1,""&amp;$B39&amp;"("&amp;(CHOOSE($F$1,$Z$4,$AA$4))&amp;","&amp;G$7&amp;",,,,"&amp;$H$1&amp;")"),"")</f>
        <v>0</v>
      </c>
      <c r="H39" s="49" cm="1">
        <f t="array" ref="H39">IFERROR(_xll.FDS($A$1,""&amp;$B39&amp;"("&amp;(CHOOSE($F$1,$Z$4,$AA$4))&amp;","&amp;H$7&amp;",,,,"&amp;$H$1&amp;")"),"")</f>
        <v>0</v>
      </c>
      <c r="I39" s="49" cm="1">
        <f t="array" ref="I39">IFERROR(_xll.FDS($A$1,""&amp;$B39&amp;"("&amp;(CHOOSE($F$1,$Z$4,$AA$4))&amp;","&amp;I$7&amp;",,,,"&amp;$H$1&amp;")"),"")</f>
        <v>0.78300000000000003</v>
      </c>
      <c r="J39" s="49" cm="1">
        <f t="array" ref="J39">IFERROR(_xll.FDS($A$1,""&amp;$B39&amp;"("&amp;(CHOOSE($F$1,$Z$4,$AA$4))&amp;","&amp;J$7&amp;",,,,"&amp;$H$1&amp;")"),"")</f>
        <v>1.0489999999999999</v>
      </c>
      <c r="K39" s="49" cm="1">
        <f t="array" ref="K39">IFERROR(_xll.FDS($A$1,""&amp;$B39&amp;"("&amp;(CHOOSE($F$1,$Z$4,$AA$4))&amp;","&amp;K$7&amp;",,,,"&amp;$H$1&amp;")"),"")</f>
        <v>91.316000000000003</v>
      </c>
      <c r="L39" s="49" cm="1">
        <f t="array" ref="L39">IFERROR(_xll.FDS($A$1,""&amp;$B39&amp;"("&amp;(CHOOSE($F$1,$Z$4,$AA$4))&amp;","&amp;L$7&amp;",,,,"&amp;$H$1&amp;")"),"")</f>
        <v>10.34</v>
      </c>
      <c r="M39" s="49" cm="1">
        <f t="array" ref="M39">IFERROR(_xll.FDS($A$1,""&amp;$B39&amp;"("&amp;(CHOOSE($F$1,$Z$4,$AA$4))&amp;","&amp;M$7&amp;",,,,"&amp;$H$1&amp;")"),"")</f>
        <v>2.694</v>
      </c>
      <c r="N39" s="49" cm="1">
        <f t="array" ref="N39">IFERROR(_xll.FDS($A$1,""&amp;$B39&amp;"("&amp;(CHOOSE($F$1,$Z$4,$AA$4))&amp;","&amp;N$7&amp;",,,,"&amp;$H$1&amp;")"),"")</f>
        <v>2.4500000000000002</v>
      </c>
      <c r="O39" s="49" cm="1">
        <f t="array" ref="O39">IFERROR(_xll.FDS($A$1,""&amp;$B39&amp;"("&amp;(CHOOSE($F$1,$Z$4,$AA$4))&amp;","&amp;O$7&amp;",,,,"&amp;$H$1&amp;")"),"")</f>
        <v>1.1639999999999999</v>
      </c>
    </row>
    <row r="40" spans="1:15" x14ac:dyDescent="0.3">
      <c r="A40" s="45" t="s">
        <v>149</v>
      </c>
      <c r="B40" t="s">
        <v>368</v>
      </c>
      <c r="E40" s="49" cm="1">
        <f t="array" ref="E40">IFERROR(_xll.FDS($A$1,""&amp;$B40&amp;"("&amp;(CHOOSE($F$1,$Z$4,$AA$4))&amp;","&amp;E$7&amp;",,,,"&amp;$H$1&amp;")"),"")</f>
        <v>0</v>
      </c>
      <c r="F40" s="49" cm="1">
        <f t="array" ref="F40">IFERROR(_xll.FDS($A$1,""&amp;$B40&amp;"("&amp;(CHOOSE($F$1,$Z$4,$AA$4))&amp;","&amp;F$7&amp;",,,,"&amp;$H$1&amp;")"),"")</f>
        <v>126.932</v>
      </c>
      <c r="G40" s="49" cm="1">
        <f t="array" ref="G40">IFERROR(_xll.FDS($A$1,""&amp;$B40&amp;"("&amp;(CHOOSE($F$1,$Z$4,$AA$4))&amp;","&amp;G$7&amp;",,,,"&amp;$H$1&amp;")"),"")</f>
        <v>125.886</v>
      </c>
      <c r="H40" s="49" cm="1">
        <f t="array" ref="H40">IFERROR(_xll.FDS($A$1,""&amp;$B40&amp;"("&amp;(CHOOSE($F$1,$Z$4,$AA$4))&amp;","&amp;H$7&amp;",,,,"&amp;$H$1&amp;")"),"")</f>
        <v>129.429</v>
      </c>
      <c r="I40" s="49" cm="1">
        <f t="array" ref="I40">IFERROR(_xll.FDS($A$1,""&amp;$B40&amp;"("&amp;(CHOOSE($F$1,$Z$4,$AA$4))&amp;","&amp;I$7&amp;",,,,"&amp;$H$1&amp;")"),"")</f>
        <v>138.08000000000001</v>
      </c>
      <c r="J40" s="49" cm="1">
        <f t="array" ref="J40">IFERROR(_xll.FDS($A$1,""&amp;$B40&amp;"("&amp;(CHOOSE($F$1,$Z$4,$AA$4))&amp;","&amp;J$7&amp;",,,,"&amp;$H$1&amp;")"),"")</f>
        <v>236.786</v>
      </c>
      <c r="K40" s="49" cm="1">
        <f t="array" ref="K40">IFERROR(_xll.FDS($A$1,""&amp;$B40&amp;"("&amp;(CHOOSE($F$1,$Z$4,$AA$4))&amp;","&amp;K$7&amp;",,,,"&amp;$H$1&amp;")"),"")</f>
        <v>158.834</v>
      </c>
      <c r="L40" s="49" cm="1">
        <f t="array" ref="L40">IFERROR(_xll.FDS($A$1,""&amp;$B40&amp;"("&amp;(CHOOSE($F$1,$Z$4,$AA$4))&amp;","&amp;L$7&amp;",,,,"&amp;$H$1&amp;")"),"")</f>
        <v>163.10499999999999</v>
      </c>
      <c r="M40" s="49" cm="1">
        <f t="array" ref="M40">IFERROR(_xll.FDS($A$1,""&amp;$B40&amp;"("&amp;(CHOOSE($F$1,$Z$4,$AA$4))&amp;","&amp;M$7&amp;",,,,"&amp;$H$1&amp;")"),"")</f>
        <v>181.58099999999999</v>
      </c>
      <c r="N40" s="49" cm="1">
        <f t="array" ref="N40">IFERROR(_xll.FDS($A$1,""&amp;$B40&amp;"("&amp;(CHOOSE($F$1,$Z$4,$AA$4))&amp;","&amp;N$7&amp;",,,,"&amp;$H$1&amp;")"),"")</f>
        <v>60.256999999999998</v>
      </c>
      <c r="O40" s="49" cm="1">
        <f t="array" ref="O40">IFERROR(_xll.FDS($A$1,""&amp;$B40&amp;"("&amp;(CHOOSE($F$1,$Z$4,$AA$4))&amp;","&amp;O$7&amp;",,,,"&amp;$H$1&amp;")"),"")</f>
        <v>211.244</v>
      </c>
    </row>
    <row r="41" spans="1:15" x14ac:dyDescent="0.3">
      <c r="A41" s="3" t="s">
        <v>150</v>
      </c>
      <c r="B41" t="s">
        <v>369</v>
      </c>
      <c r="E41" s="49" cm="1">
        <f t="array" ref="E41">IFERROR(_xll.FDS($A$1,""&amp;$B41&amp;"("&amp;(CHOOSE($F$1,$Z$4,$AA$4))&amp;","&amp;E$7&amp;",,,,"&amp;$H$1&amp;")"),"")</f>
        <v>0</v>
      </c>
      <c r="F41" s="49" cm="1">
        <f t="array" ref="F41">IFERROR(_xll.FDS($A$1,""&amp;$B41&amp;"("&amp;(CHOOSE($F$1,$Z$4,$AA$4))&amp;","&amp;F$7&amp;",,,,"&amp;$H$1&amp;")"),"")</f>
        <v>126.932</v>
      </c>
      <c r="G41" s="49" cm="1">
        <f t="array" ref="G41">IFERROR(_xll.FDS($A$1,""&amp;$B41&amp;"("&amp;(CHOOSE($F$1,$Z$4,$AA$4))&amp;","&amp;G$7&amp;",,,,"&amp;$H$1&amp;")"),"")</f>
        <v>125.886</v>
      </c>
      <c r="H41" s="49" cm="1">
        <f t="array" ref="H41">IFERROR(_xll.FDS($A$1,""&amp;$B41&amp;"("&amp;(CHOOSE($F$1,$Z$4,$AA$4))&amp;","&amp;H$7&amp;",,,,"&amp;$H$1&amp;")"),"")</f>
        <v>129.429</v>
      </c>
      <c r="I41" s="49" cm="1">
        <f t="array" ref="I41">IFERROR(_xll.FDS($A$1,""&amp;$B41&amp;"("&amp;(CHOOSE($F$1,$Z$4,$AA$4))&amp;","&amp;I$7&amp;",,,,"&amp;$H$1&amp;")"),"")</f>
        <v>138.863</v>
      </c>
      <c r="J41" s="49" cm="1">
        <f t="array" ref="J41">IFERROR(_xll.FDS($A$1,""&amp;$B41&amp;"("&amp;(CHOOSE($F$1,$Z$4,$AA$4))&amp;","&amp;J$7&amp;",,,,"&amp;$H$1&amp;")"),"")</f>
        <v>237.83500000000001</v>
      </c>
      <c r="K41" s="49" cm="1">
        <f t="array" ref="K41">IFERROR(_xll.FDS($A$1,""&amp;$B41&amp;"("&amp;(CHOOSE($F$1,$Z$4,$AA$4))&amp;","&amp;K$7&amp;",,,,"&amp;$H$1&amp;")"),"")</f>
        <v>250.15</v>
      </c>
      <c r="L41" s="49" cm="1">
        <f t="array" ref="L41">IFERROR(_xll.FDS($A$1,""&amp;$B41&amp;"("&amp;(CHOOSE($F$1,$Z$4,$AA$4))&amp;","&amp;L$7&amp;",,,,"&amp;$H$1&amp;")"),"")</f>
        <v>173.44499999999999</v>
      </c>
      <c r="M41" s="49" cm="1">
        <f t="array" ref="M41">IFERROR(_xll.FDS($A$1,""&amp;$B41&amp;"("&amp;(CHOOSE($F$1,$Z$4,$AA$4))&amp;","&amp;M$7&amp;",,,,"&amp;$H$1&amp;")"),"")</f>
        <v>184.27500000000001</v>
      </c>
      <c r="N41" s="49" cm="1">
        <f t="array" ref="N41">IFERROR(_xll.FDS($A$1,""&amp;$B41&amp;"("&amp;(CHOOSE($F$1,$Z$4,$AA$4))&amp;","&amp;N$7&amp;",,,,"&amp;$H$1&amp;")"),"")</f>
        <v>62.707000000000001</v>
      </c>
      <c r="O41" s="49" cm="1">
        <f t="array" ref="O41">IFERROR(_xll.FDS($A$1,""&amp;$B41&amp;"("&amp;(CHOOSE($F$1,$Z$4,$AA$4))&amp;","&amp;O$7&amp;",,,,"&amp;$H$1&amp;")"),"")</f>
        <v>212.40799999999999</v>
      </c>
    </row>
    <row r="42" spans="1:15" x14ac:dyDescent="0.3">
      <c r="A42" s="46" t="s">
        <v>152</v>
      </c>
      <c r="B42" t="s">
        <v>370</v>
      </c>
      <c r="E42" s="49" cm="1">
        <f t="array" ref="E42">IFERROR(_xll.FDS($A$1,""&amp;$B42&amp;"("&amp;(CHOOSE($F$1,$Z$4,$AA$4))&amp;","&amp;E$7&amp;",,,,"&amp;$H$1&amp;")"),"")</f>
        <v>214.952</v>
      </c>
      <c r="F42" s="49" cm="1">
        <f t="array" ref="F42">IFERROR(_xll.FDS($A$1,""&amp;$B42&amp;"("&amp;(CHOOSE($F$1,$Z$4,$AA$4))&amp;","&amp;F$7&amp;",,,,"&amp;$H$1&amp;")"),"")</f>
        <v>349.78399999999999</v>
      </c>
      <c r="G42" s="49" cm="1">
        <f t="array" ref="G42">IFERROR(_xll.FDS($A$1,""&amp;$B42&amp;"("&amp;(CHOOSE($F$1,$Z$4,$AA$4))&amp;","&amp;G$7&amp;",,,,"&amp;$H$1&amp;")"),"")</f>
        <v>395.73200000000003</v>
      </c>
      <c r="H42" s="49" cm="1">
        <f t="array" ref="H42">IFERROR(_xll.FDS($A$1,""&amp;$B42&amp;"("&amp;(CHOOSE($F$1,$Z$4,$AA$4))&amp;","&amp;H$7&amp;",,,,"&amp;$H$1&amp;")"),"")</f>
        <v>372.06299999999999</v>
      </c>
      <c r="I42" s="49" cm="1">
        <f t="array" ref="I42">IFERROR(_xll.FDS($A$1,""&amp;$B42&amp;"("&amp;(CHOOSE($F$1,$Z$4,$AA$4))&amp;","&amp;I$7&amp;",,,,"&amp;$H$1&amp;")"),"")</f>
        <v>417.053</v>
      </c>
      <c r="J42" s="49" cm="1">
        <f t="array" ref="J42">IFERROR(_xll.FDS($A$1,""&amp;$B42&amp;"("&amp;(CHOOSE($F$1,$Z$4,$AA$4))&amp;","&amp;J$7&amp;",,,,"&amp;$H$1&amp;")"),"")</f>
        <v>535.58600000000001</v>
      </c>
      <c r="K42" s="49" cm="1">
        <f t="array" ref="K42">IFERROR(_xll.FDS($A$1,""&amp;$B42&amp;"("&amp;(CHOOSE($F$1,$Z$4,$AA$4))&amp;","&amp;K$7&amp;",,,,"&amp;$H$1&amp;")"),"")</f>
        <v>520.82899999999995</v>
      </c>
      <c r="L42" s="49" cm="1">
        <f t="array" ref="L42">IFERROR(_xll.FDS($A$1,""&amp;$B42&amp;"("&amp;(CHOOSE($F$1,$Z$4,$AA$4))&amp;","&amp;L$7&amp;",,,,"&amp;$H$1&amp;")"),"")</f>
        <v>476.74799999999999</v>
      </c>
      <c r="M42" s="49" cm="1">
        <f t="array" ref="M42">IFERROR(_xll.FDS($A$1,""&amp;$B42&amp;"("&amp;(CHOOSE($F$1,$Z$4,$AA$4))&amp;","&amp;M$7&amp;",,,,"&amp;$H$1&amp;")"),"")</f>
        <v>633.05700000000002</v>
      </c>
      <c r="N42" s="49" cm="1">
        <f t="array" ref="N42">IFERROR(_xll.FDS($A$1,""&amp;$B42&amp;"("&amp;(CHOOSE($F$1,$Z$4,$AA$4))&amp;","&amp;N$7&amp;",,,,"&amp;$H$1&amp;")"),"")</f>
        <v>679.30200000000002</v>
      </c>
      <c r="O42" s="49" cm="1">
        <f t="array" ref="O42">IFERROR(_xll.FDS($A$1,""&amp;$B42&amp;"("&amp;(CHOOSE($F$1,$Z$4,$AA$4))&amp;","&amp;O$7&amp;",,,,"&amp;$H$1&amp;")"),"")</f>
        <v>823.85799999999995</v>
      </c>
    </row>
    <row r="43" spans="1:15" x14ac:dyDescent="0.3">
      <c r="A43" s="45"/>
      <c r="E43" s="57"/>
      <c r="F43" s="57"/>
      <c r="G43" s="57"/>
      <c r="H43" s="57"/>
      <c r="I43" s="57"/>
      <c r="J43" s="57"/>
      <c r="K43" s="57"/>
      <c r="L43" s="57"/>
      <c r="M43" s="57"/>
      <c r="N43" s="57"/>
      <c r="O43" s="57"/>
    </row>
    <row r="44" spans="1:15" x14ac:dyDescent="0.3">
      <c r="A44" s="45" t="s">
        <v>153</v>
      </c>
      <c r="B44" t="s">
        <v>371</v>
      </c>
      <c r="E44" s="49" cm="1">
        <f t="array" ref="E44">IFERROR(_xll.FDS($A$1,""&amp;$B44&amp;"("&amp;(CHOOSE($F$1,$Z$4,$AA$4))&amp;","&amp;E$7&amp;",,,,"&amp;$H$1&amp;")"),"")</f>
        <v>0</v>
      </c>
      <c r="F44" s="49" cm="1">
        <f t="array" ref="F44">IFERROR(_xll.FDS($A$1,""&amp;$B44&amp;"("&amp;(CHOOSE($F$1,$Z$4,$AA$4))&amp;","&amp;F$7&amp;",,,,"&amp;$H$1&amp;")"),"")</f>
        <v>0</v>
      </c>
      <c r="G44" s="49" cm="1">
        <f t="array" ref="G44">IFERROR(_xll.FDS($A$1,""&amp;$B44&amp;"("&amp;(CHOOSE($F$1,$Z$4,$AA$4))&amp;","&amp;G$7&amp;",,,,"&amp;$H$1&amp;")"),"")</f>
        <v>0</v>
      </c>
      <c r="H44" s="49" cm="1">
        <f t="array" ref="H44">IFERROR(_xll.FDS($A$1,""&amp;$B44&amp;"("&amp;(CHOOSE($F$1,$Z$4,$AA$4))&amp;","&amp;H$7&amp;",,,,"&amp;$H$1&amp;")"),"")</f>
        <v>0</v>
      </c>
      <c r="I44" s="49" cm="1">
        <f t="array" ref="I44">IFERROR(_xll.FDS($A$1,""&amp;$B44&amp;"("&amp;(CHOOSE($F$1,$Z$4,$AA$4))&amp;","&amp;I$7&amp;",,,,"&amp;$H$1&amp;")"),"")</f>
        <v>0</v>
      </c>
      <c r="J44" s="49" cm="1">
        <f t="array" ref="J44">IFERROR(_xll.FDS($A$1,""&amp;$B44&amp;"("&amp;(CHOOSE($F$1,$Z$4,$AA$4))&amp;","&amp;J$7&amp;",,,,"&amp;$H$1&amp;")"),"")</f>
        <v>0</v>
      </c>
      <c r="K44" s="49" cm="1">
        <f t="array" ref="K44">IFERROR(_xll.FDS($A$1,""&amp;$B44&amp;"("&amp;(CHOOSE($F$1,$Z$4,$AA$4))&amp;","&amp;K$7&amp;",,,,"&amp;$H$1&amp;")"),"")</f>
        <v>0</v>
      </c>
      <c r="L44" s="49" cm="1">
        <f t="array" ref="L44">IFERROR(_xll.FDS($A$1,""&amp;$B44&amp;"("&amp;(CHOOSE($F$1,$Z$4,$AA$4))&amp;","&amp;L$7&amp;",,,,"&amp;$H$1&amp;")"),"")</f>
        <v>0</v>
      </c>
      <c r="M44" s="49" cm="1">
        <f t="array" ref="M44">IFERROR(_xll.FDS($A$1,""&amp;$B44&amp;"("&amp;(CHOOSE($F$1,$Z$4,$AA$4))&amp;","&amp;M$7&amp;",,,,"&amp;$H$1&amp;")"),"")</f>
        <v>0</v>
      </c>
      <c r="N44" s="49" cm="1">
        <f t="array" ref="N44">IFERROR(_xll.FDS($A$1,""&amp;$B44&amp;"("&amp;(CHOOSE($F$1,$Z$4,$AA$4))&amp;","&amp;N$7&amp;",,,,"&amp;$H$1&amp;")"),"")</f>
        <v>0</v>
      </c>
      <c r="O44" s="49" cm="1">
        <f t="array" ref="O44">IFERROR(_xll.FDS($A$1,""&amp;$B44&amp;"("&amp;(CHOOSE($F$1,$Z$4,$AA$4))&amp;","&amp;O$7&amp;",,,,"&amp;$H$1&amp;")"),"")</f>
        <v>0</v>
      </c>
    </row>
    <row r="45" spans="1:15" x14ac:dyDescent="0.3">
      <c r="A45" s="45" t="s">
        <v>154</v>
      </c>
      <c r="B45" t="s">
        <v>372</v>
      </c>
      <c r="E45" s="49" cm="1">
        <f t="array" ref="E45">IFERROR(_xll.FDS($A$1,""&amp;$B45&amp;"("&amp;(CHOOSE($F$1,$Z$4,$AA$4))&amp;","&amp;E$7&amp;",,,,"&amp;$H$1&amp;")"),"")</f>
        <v>121.253</v>
      </c>
      <c r="F45" s="49" cm="1">
        <f t="array" ref="F45">IFERROR(_xll.FDS($A$1,""&amp;$B45&amp;"("&amp;(CHOOSE($F$1,$Z$4,$AA$4))&amp;","&amp;F$7&amp;",,,,"&amp;$H$1&amp;")"),"")</f>
        <v>160.52099999999999</v>
      </c>
      <c r="G45" s="49" cm="1">
        <f t="array" ref="G45">IFERROR(_xll.FDS($A$1,""&amp;$B45&amp;"("&amp;(CHOOSE($F$1,$Z$4,$AA$4))&amp;","&amp;G$7&amp;",,,,"&amp;$H$1&amp;")"),"")</f>
        <v>182.58500000000001</v>
      </c>
      <c r="H45" s="49" cm="1">
        <f t="array" ref="H45">IFERROR(_xll.FDS($A$1,""&amp;$B45&amp;"("&amp;(CHOOSE($F$1,$Z$4,$AA$4))&amp;","&amp;H$7&amp;",,,,"&amp;$H$1&amp;")"),"")</f>
        <v>237.72200000000001</v>
      </c>
      <c r="I45" s="49" cm="1">
        <f t="array" ref="I45">IFERROR(_xll.FDS($A$1,""&amp;$B45&amp;"("&amp;(CHOOSE($F$1,$Z$4,$AA$4))&amp;","&amp;I$7&amp;",,,,"&amp;$H$1&amp;")"),"")</f>
        <v>243.74600000000001</v>
      </c>
      <c r="J45" s="49" cm="1">
        <f t="array" ref="J45">IFERROR(_xll.FDS($A$1,""&amp;$B45&amp;"("&amp;(CHOOSE($F$1,$Z$4,$AA$4))&amp;","&amp;J$7&amp;",,,,"&amp;$H$1&amp;")"),"")</f>
        <v>193.97499999999999</v>
      </c>
      <c r="K45" s="49" cm="1">
        <f t="array" ref="K45">IFERROR(_xll.FDS($A$1,""&amp;$B45&amp;"("&amp;(CHOOSE($F$1,$Z$4,$AA$4))&amp;","&amp;K$7&amp;",,,,"&amp;$H$1&amp;")"),"")</f>
        <v>181.441</v>
      </c>
      <c r="L45" s="49" cm="1">
        <f t="array" ref="L45">IFERROR(_xll.FDS($A$1,""&amp;$B45&amp;"("&amp;(CHOOSE($F$1,$Z$4,$AA$4))&amp;","&amp;L$7&amp;",,,,"&amp;$H$1&amp;")"),"")</f>
        <v>185.54300000000001</v>
      </c>
      <c r="M45" s="49" cm="1">
        <f t="array" ref="M45">IFERROR(_xll.FDS($A$1,""&amp;$B45&amp;"("&amp;(CHOOSE($F$1,$Z$4,$AA$4))&amp;","&amp;M$7&amp;",,,,"&amp;$H$1&amp;")"),"")</f>
        <v>201.136</v>
      </c>
      <c r="N45" s="49" cm="1">
        <f t="array" ref="N45">IFERROR(_xll.FDS($A$1,""&amp;$B45&amp;"("&amp;(CHOOSE($F$1,$Z$4,$AA$4))&amp;","&amp;N$7&amp;",,,,"&amp;$H$1&amp;")"),"")</f>
        <v>323.36500000000001</v>
      </c>
      <c r="O45" s="49" cm="1">
        <f t="array" ref="O45">IFERROR(_xll.FDS($A$1,""&amp;$B45&amp;"("&amp;(CHOOSE($F$1,$Z$4,$AA$4))&amp;","&amp;O$7&amp;",,,,"&amp;$H$1&amp;")"),"")</f>
        <v>162.596</v>
      </c>
    </row>
    <row r="46" spans="1:15" x14ac:dyDescent="0.3">
      <c r="A46" s="46" t="s">
        <v>156</v>
      </c>
      <c r="B46" t="s">
        <v>373</v>
      </c>
      <c r="E46" s="49" cm="1">
        <f t="array" ref="E46">IFERROR(_xll.FDS($A$1,""&amp;$B46&amp;"("&amp;(CHOOSE($F$1,$Z$4,$AA$4))&amp;","&amp;E$7&amp;",,,,"&amp;$H$1&amp;")"),"")</f>
        <v>336.20499999999998</v>
      </c>
      <c r="F46" s="49" cm="1">
        <f t="array" ref="F46">IFERROR(_xll.FDS($A$1,""&amp;$B46&amp;"("&amp;(CHOOSE($F$1,$Z$4,$AA$4))&amp;","&amp;F$7&amp;",,,,"&amp;$H$1&amp;")"),"")</f>
        <v>510.30500000000001</v>
      </c>
      <c r="G46" s="49" cm="1">
        <f t="array" ref="G46">IFERROR(_xll.FDS($A$1,""&amp;$B46&amp;"("&amp;(CHOOSE($F$1,$Z$4,$AA$4))&amp;","&amp;G$7&amp;",,,,"&amp;$H$1&amp;")"),"")</f>
        <v>578.31700000000001</v>
      </c>
      <c r="H46" s="49" cm="1">
        <f t="array" ref="H46">IFERROR(_xll.FDS($A$1,""&amp;$B46&amp;"("&amp;(CHOOSE($F$1,$Z$4,$AA$4))&amp;","&amp;H$7&amp;",,,,"&amp;$H$1&amp;")"),"")</f>
        <v>609.78499999999997</v>
      </c>
      <c r="I46" s="49" cm="1">
        <f t="array" ref="I46">IFERROR(_xll.FDS($A$1,""&amp;$B46&amp;"("&amp;(CHOOSE($F$1,$Z$4,$AA$4))&amp;","&amp;I$7&amp;",,,,"&amp;$H$1&amp;")"),"")</f>
        <v>660.79899999999998</v>
      </c>
      <c r="J46" s="49" cm="1">
        <f t="array" ref="J46">IFERROR(_xll.FDS($A$1,""&amp;$B46&amp;"("&amp;(CHOOSE($F$1,$Z$4,$AA$4))&amp;","&amp;J$7&amp;",,,,"&amp;$H$1&amp;")"),"")</f>
        <v>729.56100000000004</v>
      </c>
      <c r="K46" s="49" cm="1">
        <f t="array" ref="K46">IFERROR(_xll.FDS($A$1,""&amp;$B46&amp;"("&amp;(CHOOSE($F$1,$Z$4,$AA$4))&amp;","&amp;K$7&amp;",,,,"&amp;$H$1&amp;")"),"")</f>
        <v>702.27</v>
      </c>
      <c r="L46" s="49" cm="1">
        <f t="array" ref="L46">IFERROR(_xll.FDS($A$1,""&amp;$B46&amp;"("&amp;(CHOOSE($F$1,$Z$4,$AA$4))&amp;","&amp;L$7&amp;",,,,"&amp;$H$1&amp;")"),"")</f>
        <v>662.29100000000005</v>
      </c>
      <c r="M46" s="49" cm="1">
        <f t="array" ref="M46">IFERROR(_xll.FDS($A$1,""&amp;$B46&amp;"("&amp;(CHOOSE($F$1,$Z$4,$AA$4))&amp;","&amp;M$7&amp;",,,,"&amp;$H$1&amp;")"),"")</f>
        <v>834.19299999999998</v>
      </c>
      <c r="N46" s="49" cm="1">
        <f t="array" ref="N46">IFERROR(_xll.FDS($A$1,""&amp;$B46&amp;"("&amp;(CHOOSE($F$1,$Z$4,$AA$4))&amp;","&amp;N$7&amp;",,,,"&amp;$H$1&amp;")"),"")</f>
        <v>1093.76</v>
      </c>
      <c r="O46" s="49" cm="1">
        <f t="array" ref="O46">IFERROR(_xll.FDS($A$1,""&amp;$B46&amp;"("&amp;(CHOOSE($F$1,$Z$4,$AA$4))&amp;","&amp;O$7&amp;",,,,"&amp;$H$1&amp;")"),"")</f>
        <v>1078.665</v>
      </c>
    </row>
    <row r="47" spans="1:15" x14ac:dyDescent="0.3">
      <c r="A47" s="3"/>
      <c r="E47" s="57"/>
      <c r="F47" s="57"/>
      <c r="G47" s="57"/>
      <c r="H47" s="57"/>
      <c r="I47" s="57"/>
      <c r="J47" s="57"/>
      <c r="K47" s="57"/>
      <c r="L47" s="57"/>
      <c r="M47" s="57"/>
      <c r="N47" s="57"/>
      <c r="O47" s="57"/>
    </row>
    <row r="48" spans="1:15" x14ac:dyDescent="0.3">
      <c r="A48" s="36" t="s">
        <v>374</v>
      </c>
      <c r="E48" s="57"/>
      <c r="F48" s="57"/>
      <c r="G48" s="57"/>
      <c r="H48" s="57"/>
      <c r="I48" s="57"/>
      <c r="J48" s="57"/>
      <c r="K48" s="57"/>
      <c r="L48" s="57"/>
      <c r="M48" s="57"/>
      <c r="N48" s="57"/>
      <c r="O48" s="57"/>
    </row>
    <row r="49" spans="1:15" x14ac:dyDescent="0.3">
      <c r="A49" s="36" t="s">
        <v>158</v>
      </c>
      <c r="E49" s="57"/>
      <c r="F49" s="57"/>
      <c r="G49" s="57"/>
      <c r="H49" s="57"/>
      <c r="I49" s="57"/>
      <c r="J49" s="57"/>
      <c r="K49" s="57"/>
      <c r="L49" s="57"/>
      <c r="M49" s="57"/>
      <c r="N49" s="57"/>
      <c r="O49" s="57"/>
    </row>
    <row r="50" spans="1:15" x14ac:dyDescent="0.3">
      <c r="A50" s="3" t="s">
        <v>126</v>
      </c>
      <c r="B50" t="s">
        <v>375</v>
      </c>
      <c r="E50" s="49" t="str" cm="1">
        <f t="array" ref="E50">IFERROR(_xll.FDS($A$1,""&amp;$B50&amp;"("&amp;(CHOOSE($F$1,$Z$4,$AA$4))&amp;","&amp;E$7&amp;",,,,"&amp;$H$1&amp;")"),"")</f>
        <v/>
      </c>
      <c r="F50" s="49" t="str" cm="1">
        <f t="array" ref="F50">IFERROR(_xll.FDS($A$1,""&amp;$B50&amp;"("&amp;(CHOOSE($F$1,$Z$4,$AA$4))&amp;","&amp;F$7&amp;",,,,"&amp;$H$1&amp;")"),"")</f>
        <v/>
      </c>
      <c r="G50" s="49" t="str" cm="1">
        <f t="array" ref="G50">IFERROR(_xll.FDS($A$1,""&amp;$B50&amp;"("&amp;(CHOOSE($F$1,$Z$4,$AA$4))&amp;","&amp;G$7&amp;",,,,"&amp;$H$1&amp;")"),"")</f>
        <v/>
      </c>
      <c r="H50" s="49" t="str" cm="1">
        <f t="array" ref="H50">IFERROR(_xll.FDS($A$1,""&amp;$B50&amp;"("&amp;(CHOOSE($F$1,$Z$4,$AA$4))&amp;","&amp;H$7&amp;",,,,"&amp;$H$1&amp;")"),"")</f>
        <v/>
      </c>
      <c r="I50" s="49" t="str" cm="1">
        <f t="array" ref="I50">IFERROR(_xll.FDS($A$1,""&amp;$B50&amp;"("&amp;(CHOOSE($F$1,$Z$4,$AA$4))&amp;","&amp;I$7&amp;",,,,"&amp;$H$1&amp;")"),"")</f>
        <v/>
      </c>
      <c r="J50" s="49" t="str" cm="1">
        <f t="array" ref="J50">IFERROR(_xll.FDS($A$1,""&amp;$B50&amp;"("&amp;(CHOOSE($F$1,$Z$4,$AA$4))&amp;","&amp;J$7&amp;",,,,"&amp;$H$1&amp;")"),"")</f>
        <v/>
      </c>
      <c r="K50" s="49" t="str" cm="1">
        <f t="array" ref="K50">IFERROR(_xll.FDS($A$1,""&amp;$B50&amp;"("&amp;(CHOOSE($F$1,$Z$4,$AA$4))&amp;","&amp;K$7&amp;",,,,"&amp;$H$1&amp;")"),"")</f>
        <v/>
      </c>
      <c r="L50" s="49" t="str" cm="1">
        <f t="array" ref="L50">IFERROR(_xll.FDS($A$1,""&amp;$B50&amp;"("&amp;(CHOOSE($F$1,$Z$4,$AA$4))&amp;","&amp;L$7&amp;",,,,"&amp;$H$1&amp;")"),"")</f>
        <v/>
      </c>
      <c r="M50" s="49" t="str" cm="1">
        <f t="array" ref="M50">IFERROR(_xll.FDS($A$1,""&amp;$B50&amp;"("&amp;(CHOOSE($F$1,$Z$4,$AA$4))&amp;","&amp;M$7&amp;",,,,"&amp;$H$1&amp;")"),"")</f>
        <v/>
      </c>
      <c r="N50" s="49" t="str" cm="1">
        <f t="array" ref="N50">IFERROR(_xll.FDS($A$1,""&amp;$B50&amp;"("&amp;(CHOOSE($F$1,$Z$4,$AA$4))&amp;","&amp;N$7&amp;",,,,"&amp;$H$1&amp;")"),"")</f>
        <v/>
      </c>
      <c r="O50" s="49" t="str" cm="1">
        <f t="array" ref="O50">IFERROR(_xll.FDS($A$1,""&amp;$B50&amp;"("&amp;(CHOOSE($F$1,$Z$4,$AA$4))&amp;","&amp;O$7&amp;",,,,"&amp;$H$1&amp;")"),"")</f>
        <v/>
      </c>
    </row>
    <row r="51" spans="1:15" x14ac:dyDescent="0.3">
      <c r="A51" s="9" t="s">
        <v>160</v>
      </c>
      <c r="B51" t="s">
        <v>376</v>
      </c>
      <c r="E51" s="49" t="str" cm="1">
        <f t="array" ref="E51">IFERROR(_xll.FDS($A$1,""&amp;$B51&amp;"("&amp;(CHOOSE($F$1,$Z$4,$AA$4))&amp;","&amp;E$7&amp;",,,,"&amp;$H$1&amp;")"),"")</f>
        <v/>
      </c>
      <c r="F51" s="49" t="str" cm="1">
        <f t="array" ref="F51">IFERROR(_xll.FDS($A$1,""&amp;$B51&amp;"("&amp;(CHOOSE($F$1,$Z$4,$AA$4))&amp;","&amp;F$7&amp;",,,,"&amp;$H$1&amp;")"),"")</f>
        <v/>
      </c>
      <c r="G51" s="49" t="str" cm="1">
        <f t="array" ref="G51">IFERROR(_xll.FDS($A$1,""&amp;$B51&amp;"("&amp;(CHOOSE($F$1,$Z$4,$AA$4))&amp;","&amp;G$7&amp;",,,,"&amp;$H$1&amp;")"),"")</f>
        <v/>
      </c>
      <c r="H51" s="49" t="str" cm="1">
        <f t="array" ref="H51">IFERROR(_xll.FDS($A$1,""&amp;$B51&amp;"("&amp;(CHOOSE($F$1,$Z$4,$AA$4))&amp;","&amp;H$7&amp;",,,,"&amp;$H$1&amp;")"),"")</f>
        <v/>
      </c>
      <c r="I51" s="49" t="str" cm="1">
        <f t="array" ref="I51">IFERROR(_xll.FDS($A$1,""&amp;$B51&amp;"("&amp;(CHOOSE($F$1,$Z$4,$AA$4))&amp;","&amp;I$7&amp;",,,,"&amp;$H$1&amp;")"),"")</f>
        <v/>
      </c>
      <c r="J51" s="49" t="str" cm="1">
        <f t="array" ref="J51">IFERROR(_xll.FDS($A$1,""&amp;$B51&amp;"("&amp;(CHOOSE($F$1,$Z$4,$AA$4))&amp;","&amp;J$7&amp;",,,,"&amp;$H$1&amp;")"),"")</f>
        <v/>
      </c>
      <c r="K51" s="49" t="str" cm="1">
        <f t="array" ref="K51">IFERROR(_xll.FDS($A$1,""&amp;$B51&amp;"("&amp;(CHOOSE($F$1,$Z$4,$AA$4))&amp;","&amp;K$7&amp;",,,,"&amp;$H$1&amp;")"),"")</f>
        <v/>
      </c>
      <c r="L51" s="49" t="str" cm="1">
        <f t="array" ref="L51">IFERROR(_xll.FDS($A$1,""&amp;$B51&amp;"("&amp;(CHOOSE($F$1,$Z$4,$AA$4))&amp;","&amp;L$7&amp;",,,,"&amp;$H$1&amp;")"),"")</f>
        <v/>
      </c>
      <c r="M51" s="49" t="str" cm="1">
        <f t="array" ref="M51">IFERROR(_xll.FDS($A$1,""&amp;$B51&amp;"("&amp;(CHOOSE($F$1,$Z$4,$AA$4))&amp;","&amp;M$7&amp;",,,,"&amp;$H$1&amp;")"),"")</f>
        <v/>
      </c>
      <c r="N51" s="49" t="str" cm="1">
        <f t="array" ref="N51">IFERROR(_xll.FDS($A$1,""&amp;$B51&amp;"("&amp;(CHOOSE($F$1,$Z$4,$AA$4))&amp;","&amp;N$7&amp;",,,,"&amp;$H$1&amp;")"),"")</f>
        <v/>
      </c>
      <c r="O51" s="49" t="str" cm="1">
        <f t="array" ref="O51">IFERROR(_xll.FDS($A$1,""&amp;$B51&amp;"("&amp;(CHOOSE($F$1,$Z$4,$AA$4))&amp;","&amp;O$7&amp;",,,,"&amp;$H$1&amp;")"),"")</f>
        <v/>
      </c>
    </row>
    <row r="52" spans="1:15" x14ac:dyDescent="0.3">
      <c r="A52" s="9" t="s">
        <v>161</v>
      </c>
      <c r="B52" t="s">
        <v>377</v>
      </c>
      <c r="E52" s="49" t="str" cm="1">
        <f t="array" ref="E52">IFERROR(_xll.FDS($A$1,""&amp;$B52&amp;"("&amp;(CHOOSE($F$1,$Z$4,$AA$4))&amp;","&amp;E$7&amp;",,,,"&amp;$H$1&amp;")"),"")</f>
        <v/>
      </c>
      <c r="F52" s="49" t="str" cm="1">
        <f t="array" ref="F52">IFERROR(_xll.FDS($A$1,""&amp;$B52&amp;"("&amp;(CHOOSE($F$1,$Z$4,$AA$4))&amp;","&amp;F$7&amp;",,,,"&amp;$H$1&amp;")"),"")</f>
        <v/>
      </c>
      <c r="G52" s="49" t="str" cm="1">
        <f t="array" ref="G52">IFERROR(_xll.FDS($A$1,""&amp;$B52&amp;"("&amp;(CHOOSE($F$1,$Z$4,$AA$4))&amp;","&amp;G$7&amp;",,,,"&amp;$H$1&amp;")"),"")</f>
        <v/>
      </c>
      <c r="H52" s="49" t="str" cm="1">
        <f t="array" ref="H52">IFERROR(_xll.FDS($A$1,""&amp;$B52&amp;"("&amp;(CHOOSE($F$1,$Z$4,$AA$4))&amp;","&amp;H$7&amp;",,,,"&amp;$H$1&amp;")"),"")</f>
        <v/>
      </c>
      <c r="I52" s="49" t="str" cm="1">
        <f t="array" ref="I52">IFERROR(_xll.FDS($A$1,""&amp;$B52&amp;"("&amp;(CHOOSE($F$1,$Z$4,$AA$4))&amp;","&amp;I$7&amp;",,,,"&amp;$H$1&amp;")"),"")</f>
        <v/>
      </c>
      <c r="J52" s="49" t="str" cm="1">
        <f t="array" ref="J52">IFERROR(_xll.FDS($A$1,""&amp;$B52&amp;"("&amp;(CHOOSE($F$1,$Z$4,$AA$4))&amp;","&amp;J$7&amp;",,,,"&amp;$H$1&amp;")"),"")</f>
        <v/>
      </c>
      <c r="K52" s="49" t="str" cm="1">
        <f t="array" ref="K52">IFERROR(_xll.FDS($A$1,""&amp;$B52&amp;"("&amp;(CHOOSE($F$1,$Z$4,$AA$4))&amp;","&amp;K$7&amp;",,,,"&amp;$H$1&amp;")"),"")</f>
        <v/>
      </c>
      <c r="L52" s="49" t="str" cm="1">
        <f t="array" ref="L52">IFERROR(_xll.FDS($A$1,""&amp;$B52&amp;"("&amp;(CHOOSE($F$1,$Z$4,$AA$4))&amp;","&amp;L$7&amp;",,,,"&amp;$H$1&amp;")"),"")</f>
        <v/>
      </c>
      <c r="M52" s="49" t="str" cm="1">
        <f t="array" ref="M52">IFERROR(_xll.FDS($A$1,""&amp;$B52&amp;"("&amp;(CHOOSE($F$1,$Z$4,$AA$4))&amp;","&amp;M$7&amp;",,,,"&amp;$H$1&amp;")"),"")</f>
        <v/>
      </c>
      <c r="N52" s="49" t="str" cm="1">
        <f t="array" ref="N52">IFERROR(_xll.FDS($A$1,""&amp;$B52&amp;"("&amp;(CHOOSE($F$1,$Z$4,$AA$4))&amp;","&amp;N$7&amp;",,,,"&amp;$H$1&amp;")"),"")</f>
        <v/>
      </c>
      <c r="O52" s="49" t="str" cm="1">
        <f t="array" ref="O52">IFERROR(_xll.FDS($A$1,""&amp;$B52&amp;"("&amp;(CHOOSE($F$1,$Z$4,$AA$4))&amp;","&amp;O$7&amp;",,,,"&amp;$H$1&amp;")"),"")</f>
        <v/>
      </c>
    </row>
    <row r="53" spans="1:15" x14ac:dyDescent="0.3">
      <c r="A53" s="9" t="s">
        <v>162</v>
      </c>
      <c r="B53" t="s">
        <v>378</v>
      </c>
      <c r="E53" s="49" t="str" cm="1">
        <f t="array" ref="E53">IFERROR(_xll.FDS($A$1,""&amp;$B53&amp;"("&amp;(CHOOSE($F$1,$Z$4,$AA$4))&amp;","&amp;E$7&amp;",,,,"&amp;$H$1&amp;")"),"")</f>
        <v/>
      </c>
      <c r="F53" s="49" t="str" cm="1">
        <f t="array" ref="F53">IFERROR(_xll.FDS($A$1,""&amp;$B53&amp;"("&amp;(CHOOSE($F$1,$Z$4,$AA$4))&amp;","&amp;F$7&amp;",,,,"&amp;$H$1&amp;")"),"")</f>
        <v/>
      </c>
      <c r="G53" s="49" t="str" cm="1">
        <f t="array" ref="G53">IFERROR(_xll.FDS($A$1,""&amp;$B53&amp;"("&amp;(CHOOSE($F$1,$Z$4,$AA$4))&amp;","&amp;G$7&amp;",,,,"&amp;$H$1&amp;")"),"")</f>
        <v/>
      </c>
      <c r="H53" s="49" t="str" cm="1">
        <f t="array" ref="H53">IFERROR(_xll.FDS($A$1,""&amp;$B53&amp;"("&amp;(CHOOSE($F$1,$Z$4,$AA$4))&amp;","&amp;H$7&amp;",,,,"&amp;$H$1&amp;")"),"")</f>
        <v/>
      </c>
      <c r="I53" s="49" t="str" cm="1">
        <f t="array" ref="I53">IFERROR(_xll.FDS($A$1,""&amp;$B53&amp;"("&amp;(CHOOSE($F$1,$Z$4,$AA$4))&amp;","&amp;I$7&amp;",,,,"&amp;$H$1&amp;")"),"")</f>
        <v/>
      </c>
      <c r="J53" s="49" t="str" cm="1">
        <f t="array" ref="J53">IFERROR(_xll.FDS($A$1,""&amp;$B53&amp;"("&amp;(CHOOSE($F$1,$Z$4,$AA$4))&amp;","&amp;J$7&amp;",,,,"&amp;$H$1&amp;")"),"")</f>
        <v/>
      </c>
      <c r="K53" s="49" t="str" cm="1">
        <f t="array" ref="K53">IFERROR(_xll.FDS($A$1,""&amp;$B53&amp;"("&amp;(CHOOSE($F$1,$Z$4,$AA$4))&amp;","&amp;K$7&amp;",,,,"&amp;$H$1&amp;")"),"")</f>
        <v/>
      </c>
      <c r="L53" s="49" t="str" cm="1">
        <f t="array" ref="L53">IFERROR(_xll.FDS($A$1,""&amp;$B53&amp;"("&amp;(CHOOSE($F$1,$Z$4,$AA$4))&amp;","&amp;L$7&amp;",,,,"&amp;$H$1&amp;")"),"")</f>
        <v/>
      </c>
      <c r="M53" s="49" t="str" cm="1">
        <f t="array" ref="M53">IFERROR(_xll.FDS($A$1,""&amp;$B53&amp;"("&amp;(CHOOSE($F$1,$Z$4,$AA$4))&amp;","&amp;M$7&amp;",,,,"&amp;$H$1&amp;")"),"")</f>
        <v/>
      </c>
      <c r="N53" s="49" t="str" cm="1">
        <f t="array" ref="N53">IFERROR(_xll.FDS($A$1,""&amp;$B53&amp;"("&amp;(CHOOSE($F$1,$Z$4,$AA$4))&amp;","&amp;N$7&amp;",,,,"&amp;$H$1&amp;")"),"")</f>
        <v/>
      </c>
      <c r="O53" s="49" t="str" cm="1">
        <f t="array" ref="O53">IFERROR(_xll.FDS($A$1,""&amp;$B53&amp;"("&amp;(CHOOSE($F$1,$Z$4,$AA$4))&amp;","&amp;O$7&amp;",,,,"&amp;$H$1&amp;")"),"")</f>
        <v/>
      </c>
    </row>
    <row r="54" spans="1:15" x14ac:dyDescent="0.3">
      <c r="A54" s="9" t="s">
        <v>163</v>
      </c>
      <c r="B54" t="s">
        <v>379</v>
      </c>
      <c r="E54" s="49" t="str" cm="1">
        <f t="array" ref="E54">IFERROR(_xll.FDS($A$1,""&amp;$B54&amp;"("&amp;(CHOOSE($F$1,$Z$4,$AA$4))&amp;","&amp;E$7&amp;",,,,"&amp;$H$1&amp;")"),"")</f>
        <v/>
      </c>
      <c r="F54" s="49" t="str" cm="1">
        <f t="array" ref="F54">IFERROR(_xll.FDS($A$1,""&amp;$B54&amp;"("&amp;(CHOOSE($F$1,$Z$4,$AA$4))&amp;","&amp;F$7&amp;",,,,"&amp;$H$1&amp;")"),"")</f>
        <v/>
      </c>
      <c r="G54" s="49" t="str" cm="1">
        <f t="array" ref="G54">IFERROR(_xll.FDS($A$1,""&amp;$B54&amp;"("&amp;(CHOOSE($F$1,$Z$4,$AA$4))&amp;","&amp;G$7&amp;",,,,"&amp;$H$1&amp;")"),"")</f>
        <v/>
      </c>
      <c r="H54" s="49" t="str" cm="1">
        <f t="array" ref="H54">IFERROR(_xll.FDS($A$1,""&amp;$B54&amp;"("&amp;(CHOOSE($F$1,$Z$4,$AA$4))&amp;","&amp;H$7&amp;",,,,"&amp;$H$1&amp;")"),"")</f>
        <v/>
      </c>
      <c r="I54" s="49" t="str" cm="1">
        <f t="array" ref="I54">IFERROR(_xll.FDS($A$1,""&amp;$B54&amp;"("&amp;(CHOOSE($F$1,$Z$4,$AA$4))&amp;","&amp;I$7&amp;",,,,"&amp;$H$1&amp;")"),"")</f>
        <v/>
      </c>
      <c r="J54" s="49" t="str" cm="1">
        <f t="array" ref="J54">IFERROR(_xll.FDS($A$1,""&amp;$B54&amp;"("&amp;(CHOOSE($F$1,$Z$4,$AA$4))&amp;","&amp;J$7&amp;",,,,"&amp;$H$1&amp;")"),"")</f>
        <v/>
      </c>
      <c r="K54" s="49" t="str" cm="1">
        <f t="array" ref="K54">IFERROR(_xll.FDS($A$1,""&amp;$B54&amp;"("&amp;(CHOOSE($F$1,$Z$4,$AA$4))&amp;","&amp;K$7&amp;",,,,"&amp;$H$1&amp;")"),"")</f>
        <v/>
      </c>
      <c r="L54" s="49" t="str" cm="1">
        <f t="array" ref="L54">IFERROR(_xll.FDS($A$1,""&amp;$B54&amp;"("&amp;(CHOOSE($F$1,$Z$4,$AA$4))&amp;","&amp;L$7&amp;",,,,"&amp;$H$1&amp;")"),"")</f>
        <v/>
      </c>
      <c r="M54" s="49" t="str" cm="1">
        <f t="array" ref="M54">IFERROR(_xll.FDS($A$1,""&amp;$B54&amp;"("&amp;(CHOOSE($F$1,$Z$4,$AA$4))&amp;","&amp;M$7&amp;",,,,"&amp;$H$1&amp;")"),"")</f>
        <v/>
      </c>
      <c r="N54" s="49" t="str" cm="1">
        <f t="array" ref="N54">IFERROR(_xll.FDS($A$1,""&amp;$B54&amp;"("&amp;(CHOOSE($F$1,$Z$4,$AA$4))&amp;","&amp;N$7&amp;",,,,"&amp;$H$1&amp;")"),"")</f>
        <v/>
      </c>
      <c r="O54" s="49" t="str" cm="1">
        <f t="array" ref="O54">IFERROR(_xll.FDS($A$1,""&amp;$B54&amp;"("&amp;(CHOOSE($F$1,$Z$4,$AA$4))&amp;","&amp;O$7&amp;",,,,"&amp;$H$1&amp;")"),"")</f>
        <v/>
      </c>
    </row>
    <row r="55" spans="1:15" x14ac:dyDescent="0.3">
      <c r="A55" s="9" t="s">
        <v>164</v>
      </c>
      <c r="B55" t="s">
        <v>380</v>
      </c>
      <c r="E55" s="49" cm="1">
        <f t="array" ref="E55">IFERROR(_xll.FDS($A$1,""&amp;$B55&amp;"("&amp;(CHOOSE($F$1,$Z$4,$AA$4))&amp;","&amp;E$7&amp;",,,,"&amp;$H$1&amp;")"),"")</f>
        <v>76.031999999999996</v>
      </c>
      <c r="F55" s="49" cm="1">
        <f t="array" ref="F55">IFERROR(_xll.FDS($A$1,""&amp;$B55&amp;"("&amp;(CHOOSE($F$1,$Z$4,$AA$4))&amp;","&amp;F$7&amp;",,,,"&amp;$H$1&amp;")"),"")</f>
        <v>-18.466000000000001</v>
      </c>
      <c r="G55" s="49" cm="1">
        <f t="array" ref="G55">IFERROR(_xll.FDS($A$1,""&amp;$B55&amp;"("&amp;(CHOOSE($F$1,$Z$4,$AA$4))&amp;","&amp;G$7&amp;",,,,"&amp;$H$1&amp;")"),"")</f>
        <v>21.529</v>
      </c>
      <c r="H55" s="49" cm="1">
        <f t="array" ref="H55">IFERROR(_xll.FDS($A$1,""&amp;$B55&amp;"("&amp;(CHOOSE($F$1,$Z$4,$AA$4))&amp;","&amp;H$7&amp;",,,,"&amp;$H$1&amp;")"),"")</f>
        <v>-39.213999999999999</v>
      </c>
      <c r="I55" s="49" cm="1">
        <f t="array" ref="I55">IFERROR(_xll.FDS($A$1,""&amp;$B55&amp;"("&amp;(CHOOSE($F$1,$Z$4,$AA$4))&amp;","&amp;I$7&amp;",,,,"&amp;$H$1&amp;")"),"")</f>
        <v>55.042999999999999</v>
      </c>
      <c r="J55" s="49" cm="1">
        <f t="array" ref="J55">IFERROR(_xll.FDS($A$1,""&amp;$B55&amp;"("&amp;(CHOOSE($F$1,$Z$4,$AA$4))&amp;","&amp;J$7&amp;",,,,"&amp;$H$1&amp;")"),"")</f>
        <v>16.053999999999998</v>
      </c>
      <c r="K55" s="49" cm="1">
        <f t="array" ref="K55">IFERROR(_xll.FDS($A$1,""&amp;$B55&amp;"("&amp;(CHOOSE($F$1,$Z$4,$AA$4))&amp;","&amp;K$7&amp;",,,,"&amp;$H$1&amp;")"),"")</f>
        <v>-7.6449999999999996</v>
      </c>
      <c r="L55" s="49" cm="1">
        <f t="array" ref="L55">IFERROR(_xll.FDS($A$1,""&amp;$B55&amp;"("&amp;(CHOOSE($F$1,$Z$4,$AA$4))&amp;","&amp;L$7&amp;",,,,"&amp;$H$1&amp;")"),"")</f>
        <v>14.125</v>
      </c>
      <c r="M55" s="49" cm="1">
        <f t="array" ref="M55">IFERROR(_xll.FDS($A$1,""&amp;$B55&amp;"("&amp;(CHOOSE($F$1,$Z$4,$AA$4))&amp;","&amp;M$7&amp;",,,,"&amp;$H$1&amp;")"),"")</f>
        <v>60.04</v>
      </c>
      <c r="N55" s="49" cm="1">
        <f t="array" ref="N55">IFERROR(_xll.FDS($A$1,""&amp;$B55&amp;"("&amp;(CHOOSE($F$1,$Z$4,$AA$4))&amp;","&amp;N$7&amp;",,,,"&amp;$H$1&amp;")"),"")</f>
        <v>76.244</v>
      </c>
      <c r="O55" s="49" cm="1">
        <f t="array" ref="O55">IFERROR(_xll.FDS($A$1,""&amp;$B55&amp;"("&amp;(CHOOSE($F$1,$Z$4,$AA$4))&amp;","&amp;O$7&amp;",,,,"&amp;$H$1&amp;")"),"")</f>
        <v>49.13</v>
      </c>
    </row>
    <row r="56" spans="1:15" x14ac:dyDescent="0.3">
      <c r="A56" s="42" t="s">
        <v>165</v>
      </c>
      <c r="B56" t="s">
        <v>381</v>
      </c>
      <c r="E56" s="50" cm="1">
        <f t="array" ref="E56">IFERROR(_xll.FDS($A$1,""&amp;$B56&amp;"("&amp;(CHOOSE($F$1,$Z$4,#REF!))&amp;","&amp;E$7&amp;",,,,"&amp;$H$1&amp;")"),"")</f>
        <v>106.26600000000001</v>
      </c>
      <c r="F56" s="50" cm="1">
        <f t="array" ref="F56">IFERROR(_xll.FDS($A$1,""&amp;$B56&amp;"("&amp;(CHOOSE($F$1,$Z$4,#REF!))&amp;","&amp;F$7&amp;",,,,"&amp;$H$1&amp;")"),"")</f>
        <v>55.472000000000001</v>
      </c>
      <c r="G56" s="50" cm="1">
        <f t="array" ref="G56">IFERROR(_xll.FDS($A$1,""&amp;$B56&amp;"("&amp;(CHOOSE($F$1,$Z$4,#REF!))&amp;","&amp;G$7&amp;",,,,"&amp;$H$1&amp;")"),"")</f>
        <v>89.414000000000001</v>
      </c>
      <c r="H56" s="50" cm="1">
        <f t="array" ref="H56">IFERROR(_xll.FDS($A$1,""&amp;$B56&amp;"("&amp;(CHOOSE($F$1,$Z$4,#REF!))&amp;","&amp;H$7&amp;",,,,"&amp;$H$1&amp;")"),"")</f>
        <v>46.029000000000003</v>
      </c>
      <c r="I56" s="50" cm="1">
        <f t="array" ref="I56">IFERROR(_xll.FDS($A$1,""&amp;$B56&amp;"("&amp;(CHOOSE($F$1,$Z$4,#REF!))&amp;","&amp;I$7&amp;",,,,"&amp;$H$1&amp;")"),"")</f>
        <v>88.721999999999994</v>
      </c>
      <c r="J56" s="50" cm="1">
        <f t="array" ref="J56">IFERROR(_xll.FDS($A$1,""&amp;$B56&amp;"("&amp;(CHOOSE($F$1,$Z$4,#REF!))&amp;","&amp;J$7&amp;",,,,"&amp;$H$1&amp;")"),"")</f>
        <v>29.673999999999999</v>
      </c>
      <c r="K56" s="50" cm="1">
        <f t="array" ref="K56">IFERROR(_xll.FDS($A$1,""&amp;$B56&amp;"("&amp;(CHOOSE($F$1,$Z$4,#REF!))&amp;","&amp;K$7&amp;",,,,"&amp;$H$1&amp;")"),"")</f>
        <v>30.414999999999999</v>
      </c>
      <c r="L56" s="50" cm="1">
        <f t="array" ref="L56">IFERROR(_xll.FDS($A$1,""&amp;$B56&amp;"("&amp;(CHOOSE($F$1,$Z$4,#REF!))&amp;","&amp;L$7&amp;",,,,"&amp;$H$1&amp;")"),"")</f>
        <v>56.473999999999997</v>
      </c>
      <c r="M56" s="50" cm="1">
        <f t="array" ref="M56">IFERROR(_xll.FDS($A$1,""&amp;$B56&amp;"("&amp;(CHOOSE($F$1,$Z$4,#REF!))&amp;","&amp;M$7&amp;",,,,"&amp;$H$1&amp;")"),"")</f>
        <v>79.703000000000003</v>
      </c>
      <c r="N56" s="50" cm="1">
        <f t="array" ref="N56">IFERROR(_xll.FDS($A$1,""&amp;$B56&amp;"("&amp;(CHOOSE($F$1,$Z$4,#REF!))&amp;","&amp;N$7&amp;",,,,"&amp;$H$1&amp;")"),"")</f>
        <v>102.089</v>
      </c>
      <c r="O56" s="50" cm="1">
        <f t="array" ref="O56">IFERROR(_xll.FDS($A$1,""&amp;$B56&amp;"("&amp;(CHOOSE($F$1,$Z$4,#REF!))&amp;","&amp;O$7&amp;",,,,"&amp;$H$1&amp;")"),"")</f>
        <v>5.7750000000000101</v>
      </c>
    </row>
    <row r="57" spans="1:15" x14ac:dyDescent="0.3">
      <c r="A57" s="42"/>
      <c r="E57" s="57"/>
      <c r="F57" s="57"/>
      <c r="G57" s="57"/>
      <c r="H57" s="57"/>
      <c r="I57" s="57"/>
      <c r="J57" s="57"/>
      <c r="K57" s="57"/>
      <c r="L57" s="57"/>
      <c r="M57" s="57"/>
      <c r="N57" s="57"/>
      <c r="O57" s="57"/>
    </row>
    <row r="58" spans="1:15" x14ac:dyDescent="0.3">
      <c r="A58" s="42" t="s">
        <v>167</v>
      </c>
      <c r="E58" s="57"/>
      <c r="F58" s="57"/>
      <c r="G58" s="57"/>
      <c r="H58" s="57"/>
      <c r="I58" s="57"/>
      <c r="J58" s="57"/>
      <c r="K58" s="57"/>
      <c r="L58" s="57"/>
      <c r="M58" s="57"/>
      <c r="N58" s="57"/>
      <c r="O58" s="57"/>
    </row>
    <row r="59" spans="1:15" x14ac:dyDescent="0.3">
      <c r="A59" s="182" t="s">
        <v>168</v>
      </c>
      <c r="B59" t="s">
        <v>382</v>
      </c>
      <c r="E59" s="49" cm="1">
        <f t="array" ref="E59">-IFERROR(_xll.FDS($A$1,""&amp;$B59&amp;"("&amp;(CHOOSE($F$1,$Z$4,$AA$4))&amp;","&amp;E$7&amp;",,,,"&amp;$H$1&amp;")"),"")</f>
        <v>-1.196</v>
      </c>
      <c r="F59" s="49" cm="1">
        <f t="array" ref="F59">-IFERROR(_xll.FDS($A$1,""&amp;$B59&amp;"("&amp;(CHOOSE($F$1,$Z$4,$AA$4))&amp;","&amp;F$7&amp;",,,,"&amp;$H$1&amp;")"),"")</f>
        <v>-3.4329999999999998</v>
      </c>
      <c r="G59" s="49" cm="1">
        <f t="array" ref="G59">-IFERROR(_xll.FDS($A$1,""&amp;$B59&amp;"("&amp;(CHOOSE($F$1,$Z$4,$AA$4))&amp;","&amp;G$7&amp;",,,,"&amp;$H$1&amp;")"),"")</f>
        <v>-0.45300000000000001</v>
      </c>
      <c r="H59" s="49" cm="1">
        <f t="array" ref="H59">-IFERROR(_xll.FDS($A$1,""&amp;$B59&amp;"("&amp;(CHOOSE($F$1,$Z$4,$AA$4))&amp;","&amp;H$7&amp;",,,,"&amp;$H$1&amp;")"),"")</f>
        <v>-0.84</v>
      </c>
      <c r="I59" s="49" cm="1">
        <f t="array" ref="I59">-IFERROR(_xll.FDS($A$1,""&amp;$B59&amp;"("&amp;(CHOOSE($F$1,$Z$4,$AA$4))&amp;","&amp;I$7&amp;",,,,"&amp;$H$1&amp;")"),"")</f>
        <v>-0.86499999999999999</v>
      </c>
      <c r="J59" s="49" cm="1">
        <f t="array" ref="J59">-IFERROR(_xll.FDS($A$1,""&amp;$B59&amp;"("&amp;(CHOOSE($F$1,$Z$4,$AA$4))&amp;","&amp;J$7&amp;",,,,"&amp;$H$1&amp;")"),"")</f>
        <v>-2.9769999999999999</v>
      </c>
      <c r="K59" s="49" cm="1">
        <f t="array" ref="K59">-IFERROR(_xll.FDS($A$1,""&amp;$B59&amp;"("&amp;(CHOOSE($F$1,$Z$4,$AA$4))&amp;","&amp;K$7&amp;",,,,"&amp;$H$1&amp;")"),"")</f>
        <v>-2.5960000000000001</v>
      </c>
      <c r="L59" s="49" cm="1">
        <f t="array" ref="L59">-IFERROR(_xll.FDS($A$1,""&amp;$B59&amp;"("&amp;(CHOOSE($F$1,$Z$4,$AA$4))&amp;","&amp;L$7&amp;",,,,"&amp;$H$1&amp;")"),"")</f>
        <v>-2.887</v>
      </c>
      <c r="M59" s="49" cm="1">
        <f t="array" ref="M59">-IFERROR(_xll.FDS($A$1,""&amp;$B59&amp;"("&amp;(CHOOSE($F$1,$Z$4,$AA$4))&amp;","&amp;M$7&amp;",,,,"&amp;$H$1&amp;")"),"")</f>
        <v>-6.4370000000000003</v>
      </c>
      <c r="N59" s="49" cm="1">
        <f t="array" ref="N59">-IFERROR(_xll.FDS($A$1,""&amp;$B59&amp;"("&amp;(CHOOSE($F$1,$Z$4,$AA$4))&amp;","&amp;N$7&amp;",,,,"&amp;$H$1&amp;")"),"")</f>
        <v>-3.3180000000000001</v>
      </c>
      <c r="O59" s="49" cm="1">
        <f t="array" ref="O59">-IFERROR(_xll.FDS($A$1,""&amp;$B59&amp;"("&amp;(CHOOSE($F$1,$Z$4,$AA$4))&amp;","&amp;O$7&amp;",,,,"&amp;$H$1&amp;")"),"")</f>
        <v>-10.141</v>
      </c>
    </row>
    <row r="60" spans="1:15" x14ac:dyDescent="0.3">
      <c r="A60" s="45" t="s">
        <v>170</v>
      </c>
      <c r="B60" t="s">
        <v>383</v>
      </c>
      <c r="E60" s="49" cm="1">
        <f t="array" ref="E60">-IFERROR(_xll.FDS($A$1,""&amp;$B60&amp;"("&amp;(CHOOSE($F$1,$U$4,$V$4))&amp;","&amp;E$7&amp;",,,,"&amp;$H$1&amp;")"),"")</f>
        <v>-8.157</v>
      </c>
      <c r="F60" s="49" cm="1">
        <f t="array" ref="F60">-IFERROR(_xll.FDS($A$1,""&amp;$B60&amp;"("&amp;(CHOOSE($F$1,$U$4,$V$4))&amp;","&amp;F$7&amp;",,,,"&amp;$H$1&amp;")"),"")</f>
        <v>0</v>
      </c>
      <c r="G60" s="49" cm="1">
        <f t="array" ref="G60">-IFERROR(_xll.FDS($A$1,""&amp;$B60&amp;"("&amp;(CHOOSE($F$1,$U$4,$V$4))&amp;","&amp;G$7&amp;",,,,"&amp;$H$1&amp;")"),"")</f>
        <v>0</v>
      </c>
      <c r="H60" s="49" cm="1">
        <f t="array" ref="H60">-IFERROR(_xll.FDS($A$1,""&amp;$B60&amp;"("&amp;(CHOOSE($F$1,$U$4,$V$4))&amp;","&amp;H$7&amp;",,,,"&amp;$H$1&amp;")"),"")</f>
        <v>0</v>
      </c>
      <c r="I60" s="49" cm="1">
        <f t="array" ref="I60">-IFERROR(_xll.FDS($A$1,""&amp;$B60&amp;"("&amp;(CHOOSE($F$1,$U$4,$V$4))&amp;","&amp;I$7&amp;",,,,"&amp;$H$1&amp;")"),"")</f>
        <v>-13.715</v>
      </c>
      <c r="J60" s="49" cm="1">
        <f t="array" ref="J60">-IFERROR(_xll.FDS($A$1,""&amp;$B60&amp;"("&amp;(CHOOSE($F$1,$U$4,$V$4))&amp;","&amp;J$7&amp;",,,,"&amp;$H$1&amp;")"),"")</f>
        <v>0</v>
      </c>
      <c r="K60" s="49" cm="1">
        <f t="array" ref="K60">-IFERROR(_xll.FDS($A$1,""&amp;$B60&amp;"("&amp;(CHOOSE($F$1,$U$4,$V$4))&amp;","&amp;K$7&amp;",,,,"&amp;$H$1&amp;")"),"")</f>
        <v>-0.53900000000000003</v>
      </c>
      <c r="L60" s="49" cm="1">
        <f t="array" ref="L60">-IFERROR(_xll.FDS($A$1,""&amp;$B60&amp;"("&amp;(CHOOSE($F$1,$U$4,$V$4))&amp;","&amp;L$7&amp;",,,,"&amp;$H$1&amp;")"),"")</f>
        <v>0</v>
      </c>
      <c r="M60" s="49" cm="1">
        <f t="array" ref="M60">-IFERROR(_xll.FDS($A$1,""&amp;$B60&amp;"("&amp;(CHOOSE($F$1,$U$4,$V$4))&amp;","&amp;M$7&amp;",,,,"&amp;$H$1&amp;")"),"")</f>
        <v>0</v>
      </c>
      <c r="N60" s="49" cm="1">
        <f t="array" ref="N60">-IFERROR(_xll.FDS($A$1,""&amp;$B60&amp;"("&amp;(CHOOSE($F$1,$U$4,$V$4))&amp;","&amp;N$7&amp;",,,,"&amp;$H$1&amp;")"),"")</f>
        <v>-6.3170000000000002</v>
      </c>
      <c r="O60" s="49" cm="1">
        <f t="array" ref="O60">-IFERROR(_xll.FDS($A$1,""&amp;$B60&amp;"("&amp;(CHOOSE($F$1,$U$4,$V$4))&amp;","&amp;O$7&amp;",,,,"&amp;$H$1&amp;")"),"")</f>
        <v>-0.40600000000000003</v>
      </c>
    </row>
    <row r="61" spans="1:15" x14ac:dyDescent="0.3">
      <c r="A61" s="45" t="s">
        <v>171</v>
      </c>
      <c r="B61" t="s">
        <v>384</v>
      </c>
      <c r="E61" s="49" cm="1">
        <f t="array" ref="E61">IFERROR(_xll.FDS($A$1,""&amp;$B61&amp;"("&amp;(CHOOSE($F$1,$U$4,$V$4))&amp;","&amp;E$7&amp;",,,,"&amp;$H$1&amp;")"),"")</f>
        <v>0</v>
      </c>
      <c r="F61" s="49" cm="1">
        <f t="array" ref="F61">IFERROR(_xll.FDS($A$1,""&amp;$B61&amp;"("&amp;(CHOOSE($F$1,$U$4,$V$4))&amp;","&amp;F$7&amp;",,,,"&amp;$H$1&amp;")"),"")</f>
        <v>1E-3</v>
      </c>
      <c r="G61" s="49" cm="1">
        <f t="array" ref="G61">IFERROR(_xll.FDS($A$1,""&amp;$B61&amp;"("&amp;(CHOOSE($F$1,$U$4,$V$4))&amp;","&amp;G$7&amp;",,,,"&amp;$H$1&amp;")"),"")</f>
        <v>0</v>
      </c>
      <c r="H61" s="49" cm="1">
        <f t="array" ref="H61">IFERROR(_xll.FDS($A$1,""&amp;$B61&amp;"("&amp;(CHOOSE($F$1,$U$4,$V$4))&amp;","&amp;H$7&amp;",,,,"&amp;$H$1&amp;")"),"")</f>
        <v>0</v>
      </c>
      <c r="I61" s="49" cm="1">
        <f t="array" ref="I61">IFERROR(_xll.FDS($A$1,""&amp;$B61&amp;"("&amp;(CHOOSE($F$1,$U$4,$V$4))&amp;","&amp;I$7&amp;",,,,"&amp;$H$1&amp;")"),"")</f>
        <v>0</v>
      </c>
      <c r="J61" s="49" cm="1">
        <f t="array" ref="J61">IFERROR(_xll.FDS($A$1,""&amp;$B61&amp;"("&amp;(CHOOSE($F$1,$U$4,$V$4))&amp;","&amp;J$7&amp;",,,,"&amp;$H$1&amp;")"),"")</f>
        <v>0</v>
      </c>
      <c r="K61" s="49" cm="1">
        <f t="array" ref="K61">IFERROR(_xll.FDS($A$1,""&amp;$B61&amp;"("&amp;(CHOOSE($F$1,$U$4,$V$4))&amp;","&amp;K$7&amp;",,,,"&amp;$H$1&amp;")"),"")</f>
        <v>0</v>
      </c>
      <c r="L61" s="49" cm="1">
        <f t="array" ref="L61">IFERROR(_xll.FDS($A$1,""&amp;$B61&amp;"("&amp;(CHOOSE($F$1,$U$4,$V$4))&amp;","&amp;L$7&amp;",,,,"&amp;$H$1&amp;")"),"")</f>
        <v>0</v>
      </c>
      <c r="M61" s="49" cm="1">
        <f t="array" ref="M61">IFERROR(_xll.FDS($A$1,""&amp;$B61&amp;"("&amp;(CHOOSE($F$1,$U$4,$V$4))&amp;","&amp;M$7&amp;",,,,"&amp;$H$1&amp;")"),"")</f>
        <v>0</v>
      </c>
      <c r="N61" s="49" cm="1">
        <f t="array" ref="N61">IFERROR(_xll.FDS($A$1,""&amp;$B61&amp;"("&amp;(CHOOSE($F$1,$U$4,$V$4))&amp;","&amp;N$7&amp;",,,,"&amp;$H$1&amp;")"),"")</f>
        <v>100</v>
      </c>
      <c r="O61" s="49" cm="1">
        <f t="array" ref="O61">IFERROR(_xll.FDS($A$1,""&amp;$B61&amp;"("&amp;(CHOOSE($F$1,$U$4,$V$4))&amp;","&amp;O$7&amp;",,,,"&amp;$H$1&amp;")"),"")</f>
        <v>0</v>
      </c>
    </row>
    <row r="62" spans="1:15" x14ac:dyDescent="0.3">
      <c r="A62" s="46" t="s">
        <v>172</v>
      </c>
      <c r="E62" s="49"/>
      <c r="F62" s="49"/>
      <c r="G62" s="49"/>
      <c r="H62" s="49"/>
      <c r="I62" s="49"/>
      <c r="J62" s="49"/>
      <c r="K62" s="49"/>
      <c r="L62" s="49"/>
      <c r="M62" s="49"/>
      <c r="N62" s="49"/>
      <c r="O62" s="49"/>
    </row>
    <row r="63" spans="1:15" x14ac:dyDescent="0.3">
      <c r="A63" s="195" t="s">
        <v>173</v>
      </c>
      <c r="B63" t="s">
        <v>385</v>
      </c>
      <c r="E63" s="49" cm="1">
        <f t="array" ref="E63">-IFERROR(_xll.FDS($A$1,""&amp;$B63&amp;"("&amp;(CHOOSE($F$1,$U$4,$V$4))&amp;","&amp;E$7&amp;",,,,"&amp;$H$1&amp;")"),"")</f>
        <v>-18.138000000000002</v>
      </c>
      <c r="F63" s="49" cm="1">
        <f t="array" ref="F63">-IFERROR(_xll.FDS($A$1,""&amp;$B63&amp;"("&amp;(CHOOSE($F$1,$U$4,$V$4))&amp;","&amp;F$7&amp;",,,,"&amp;$H$1&amp;")"),"")</f>
        <v>-94.78</v>
      </c>
      <c r="G63" s="49" cm="1">
        <f t="array" ref="G63">-IFERROR(_xll.FDS($A$1,""&amp;$B63&amp;"("&amp;(CHOOSE($F$1,$U$4,$V$4))&amp;","&amp;G$7&amp;",,,,"&amp;$H$1&amp;")"),"")</f>
        <v>-137.97800000000001</v>
      </c>
      <c r="H63" s="49" cm="1">
        <f t="array" ref="H63">-IFERROR(_xll.FDS($A$1,""&amp;$B63&amp;"("&amp;(CHOOSE($F$1,$U$4,$V$4))&amp;","&amp;H$7&amp;",,,,"&amp;$H$1&amp;")"),"")</f>
        <v>-168.28899999999999</v>
      </c>
      <c r="I63" s="49" cm="1">
        <f t="array" ref="I63">-IFERROR(_xll.FDS($A$1,""&amp;$B63&amp;"("&amp;(CHOOSE($F$1,$U$4,$V$4))&amp;","&amp;I$7&amp;",,,,"&amp;$H$1&amp;")"),"")</f>
        <v>-114.985</v>
      </c>
      <c r="J63" s="49" cm="1">
        <f t="array" ref="J63">-IFERROR(_xll.FDS($A$1,""&amp;$B63&amp;"("&amp;(CHOOSE($F$1,$U$4,$V$4))&amp;","&amp;J$7&amp;",,,,"&amp;$H$1&amp;")"),"")</f>
        <v>-181.3</v>
      </c>
      <c r="K63" s="49" cm="1">
        <f t="array" ref="K63">-IFERROR(_xll.FDS($A$1,""&amp;$B63&amp;"("&amp;(CHOOSE($F$1,$U$4,$V$4))&amp;","&amp;K$7&amp;",,,,"&amp;$H$1&amp;")"),"")</f>
        <v>-381.61599999999999</v>
      </c>
      <c r="L63" s="49" cm="1">
        <f t="array" ref="L63">-IFERROR(_xll.FDS($A$1,""&amp;$B63&amp;"("&amp;(CHOOSE($F$1,$U$4,$V$4))&amp;","&amp;L$7&amp;",,,,"&amp;$H$1&amp;")"),"")</f>
        <v>-121.13200000000001</v>
      </c>
      <c r="M63" s="49" cm="1">
        <f t="array" ref="M63">-IFERROR(_xll.FDS($A$1,""&amp;$B63&amp;"("&amp;(CHOOSE($F$1,$U$4,$V$4))&amp;","&amp;M$7&amp;",,,,"&amp;$H$1&amp;")"),"")</f>
        <v>-110.63500000000001</v>
      </c>
      <c r="N63" s="49" cm="1">
        <f t="array" ref="N63">-IFERROR(_xll.FDS($A$1,""&amp;$B63&amp;"("&amp;(CHOOSE($F$1,$U$4,$V$4))&amp;","&amp;N$7&amp;",,,,"&amp;$H$1&amp;")"),"")</f>
        <v>-127.53400000000001</v>
      </c>
      <c r="O63" s="49" cm="1">
        <f t="array" ref="O63">-IFERROR(_xll.FDS($A$1,""&amp;$B63&amp;"("&amp;(CHOOSE($F$1,$U$4,$V$4))&amp;","&amp;O$7&amp;",,,,"&amp;$H$1&amp;")"),"")</f>
        <v>-640.58000000000004</v>
      </c>
    </row>
    <row r="64" spans="1:15" x14ac:dyDescent="0.3">
      <c r="A64" s="195" t="s">
        <v>174</v>
      </c>
      <c r="B64" t="s">
        <v>386</v>
      </c>
      <c r="E64" s="49" cm="1">
        <f t="array" ref="E64">IFERROR(_xll.FDS($A$1,""&amp;$B64&amp;"("&amp;(CHOOSE($F$1,$U$4,$V$4))&amp;","&amp;E$7&amp;",,,,"&amp;$H$1&amp;")"),"")</f>
        <v>26.28</v>
      </c>
      <c r="F64" s="49" cm="1">
        <f t="array" ref="F64">IFERROR(_xll.FDS($A$1,""&amp;$B64&amp;"("&amp;(CHOOSE($F$1,$U$4,$V$4))&amp;","&amp;F$7&amp;",,,,"&amp;$H$1&amp;")"),"")</f>
        <v>8.1720000000000006</v>
      </c>
      <c r="G64" s="49" cm="1">
        <f t="array" ref="G64">IFERROR(_xll.FDS($A$1,""&amp;$B64&amp;"("&amp;(CHOOSE($F$1,$U$4,$V$4))&amp;","&amp;G$7&amp;",,,,"&amp;$H$1&amp;")"),"")</f>
        <v>119.779</v>
      </c>
      <c r="H64" s="49" cm="1">
        <f t="array" ref="H64">IFERROR(_xll.FDS($A$1,""&amp;$B64&amp;"("&amp;(CHOOSE($F$1,$U$4,$V$4))&amp;","&amp;H$7&amp;",,,,"&amp;$H$1&amp;")"),"")</f>
        <v>88.754999999999995</v>
      </c>
      <c r="I64" s="49" cm="1">
        <f t="array" ref="I64">IFERROR(_xll.FDS($A$1,""&amp;$B64&amp;"("&amp;(CHOOSE($F$1,$U$4,$V$4))&amp;","&amp;I$7&amp;",,,,"&amp;$H$1&amp;")"),"")</f>
        <v>78.472999999999999</v>
      </c>
      <c r="J64" s="49" cm="1">
        <f t="array" ref="J64">IFERROR(_xll.FDS($A$1,""&amp;$B64&amp;"("&amp;(CHOOSE($F$1,$U$4,$V$4))&amp;","&amp;J$7&amp;",,,,"&amp;$H$1&amp;")"),"")</f>
        <v>91.938000000000002</v>
      </c>
      <c r="K64" s="49" cm="1">
        <f t="array" ref="K64">IFERROR(_xll.FDS($A$1,""&amp;$B64&amp;"("&amp;(CHOOSE($F$1,$U$4,$V$4))&amp;","&amp;K$7&amp;",,,,"&amp;$H$1&amp;")"),"")</f>
        <v>365.68099999999998</v>
      </c>
      <c r="L64" s="49" cm="1">
        <f t="array" ref="L64">IFERROR(_xll.FDS($A$1,""&amp;$B64&amp;"("&amp;(CHOOSE($F$1,$U$4,$V$4))&amp;","&amp;L$7&amp;",,,,"&amp;$H$1&amp;")"),"")</f>
        <v>172.357</v>
      </c>
      <c r="M64" s="49" cm="1">
        <f t="array" ref="M64">IFERROR(_xll.FDS($A$1,""&amp;$B64&amp;"("&amp;(CHOOSE($F$1,$U$4,$V$4))&amp;","&amp;M$7&amp;",,,,"&amp;$H$1&amp;")"),"")</f>
        <v>214.20099999999999</v>
      </c>
      <c r="N64" s="49" cm="1">
        <f t="array" ref="N64">IFERROR(_xll.FDS($A$1,""&amp;$B64&amp;"("&amp;(CHOOSE($F$1,$U$4,$V$4))&amp;","&amp;N$7&amp;",,,,"&amp;$H$1&amp;")"),"")</f>
        <v>162.42400000000001</v>
      </c>
      <c r="O64" s="49" cm="1">
        <f t="array" ref="O64">IFERROR(_xll.FDS($A$1,""&amp;$B64&amp;"("&amp;(CHOOSE($F$1,$U$4,$V$4))&amp;","&amp;O$7&amp;",,,,"&amp;$H$1&amp;")"),"")</f>
        <v>195.97300000000001</v>
      </c>
    </row>
    <row r="65" spans="1:15" x14ac:dyDescent="0.3">
      <c r="A65" s="46" t="s">
        <v>163</v>
      </c>
      <c r="E65" s="49"/>
      <c r="F65" s="49"/>
      <c r="G65" s="49"/>
      <c r="H65" s="49"/>
      <c r="I65" s="49"/>
      <c r="J65" s="49"/>
      <c r="K65" s="49"/>
      <c r="L65" s="49"/>
      <c r="M65" s="49"/>
      <c r="N65" s="49"/>
      <c r="O65" s="49"/>
    </row>
    <row r="66" spans="1:15" x14ac:dyDescent="0.3">
      <c r="A66" s="195" t="s">
        <v>175</v>
      </c>
      <c r="B66" t="s">
        <v>387</v>
      </c>
      <c r="E66" s="49" cm="1">
        <f t="array" ref="E66">-IFERROR(_xll.FDS($A$1,""&amp;$B66&amp;"("&amp;(CHOOSE($F$1,$U$4,$V$4))&amp;","&amp;E$7&amp;",,,,"&amp;$H$1&amp;")"),"")</f>
        <v>0</v>
      </c>
      <c r="F66" s="49" cm="1">
        <f t="array" ref="F66">-IFERROR(_xll.FDS($A$1,""&amp;$B66&amp;"("&amp;(CHOOSE($F$1,$U$4,$V$4))&amp;","&amp;F$7&amp;",,,,"&amp;$H$1&amp;")"),"")</f>
        <v>0</v>
      </c>
      <c r="G66" s="49" cm="1">
        <f t="array" ref="G66">-IFERROR(_xll.FDS($A$1,""&amp;$B66&amp;"("&amp;(CHOOSE($F$1,$U$4,$V$4))&amp;","&amp;G$7&amp;",,,,"&amp;$H$1&amp;")"),"")</f>
        <v>0</v>
      </c>
      <c r="H66" s="49" cm="1">
        <f t="array" ref="H66">-IFERROR(_xll.FDS($A$1,""&amp;$B66&amp;"("&amp;(CHOOSE($F$1,$U$4,$V$4))&amp;","&amp;H$7&amp;",,,,"&amp;$H$1&amp;")"),"")</f>
        <v>0</v>
      </c>
      <c r="I66" s="49" cm="1">
        <f t="array" ref="I66">-IFERROR(_xll.FDS($A$1,""&amp;$B66&amp;"("&amp;(CHOOSE($F$1,$U$4,$V$4))&amp;","&amp;I$7&amp;",,,,"&amp;$H$1&amp;")"),"")</f>
        <v>0</v>
      </c>
      <c r="J66" s="49" cm="1">
        <f t="array" ref="J66">-IFERROR(_xll.FDS($A$1,""&amp;$B66&amp;"("&amp;(CHOOSE($F$1,$U$4,$V$4))&amp;","&amp;J$7&amp;",,,,"&amp;$H$1&amp;")"),"")</f>
        <v>0</v>
      </c>
      <c r="K66" s="49" cm="1">
        <f t="array" ref="K66">-IFERROR(_xll.FDS($A$1,""&amp;$B66&amp;"("&amp;(CHOOSE($F$1,$U$4,$V$4))&amp;","&amp;K$7&amp;",,,,"&amp;$H$1&amp;")"),"")</f>
        <v>0</v>
      </c>
      <c r="L66" s="49" cm="1">
        <f t="array" ref="L66">-IFERROR(_xll.FDS($A$1,""&amp;$B66&amp;"("&amp;(CHOOSE($F$1,$U$4,$V$4))&amp;","&amp;L$7&amp;",,,,"&amp;$H$1&amp;")"),"")</f>
        <v>0</v>
      </c>
      <c r="M66" s="49" cm="1">
        <f t="array" ref="M66">-IFERROR(_xll.FDS($A$1,""&amp;$B66&amp;"("&amp;(CHOOSE($F$1,$U$4,$V$4))&amp;","&amp;M$7&amp;",,,,"&amp;$H$1&amp;")"),"")</f>
        <v>0</v>
      </c>
      <c r="N66" s="49" cm="1">
        <f t="array" ref="N66">-IFERROR(_xll.FDS($A$1,""&amp;$B66&amp;"("&amp;(CHOOSE($F$1,$U$4,$V$4))&amp;","&amp;N$7&amp;",,,,"&amp;$H$1&amp;")"),"")</f>
        <v>0</v>
      </c>
      <c r="O66" s="49" cm="1">
        <f t="array" ref="O66">-IFERROR(_xll.FDS($A$1,""&amp;$B66&amp;"("&amp;(CHOOSE($F$1,$U$4,$V$4))&amp;","&amp;O$7&amp;",,,,"&amp;$H$1&amp;")"),"")</f>
        <v>0</v>
      </c>
    </row>
    <row r="67" spans="1:15" x14ac:dyDescent="0.3">
      <c r="A67" s="195" t="s">
        <v>176</v>
      </c>
      <c r="B67" t="s">
        <v>388</v>
      </c>
      <c r="E67" s="49" cm="1">
        <f t="array" ref="E67">IFERROR(_xll.FDS($A$1,""&amp;$B67&amp;"("&amp;(CHOOSE($F$1,$U$4,$V$4))&amp;","&amp;E$7&amp;",,,,"&amp;$H$1&amp;")"),"")</f>
        <v>0</v>
      </c>
      <c r="F67" s="49" cm="1">
        <f t="array" ref="F67">IFERROR(_xll.FDS($A$1,""&amp;$B67&amp;"("&amp;(CHOOSE($F$1,$U$4,$V$4))&amp;","&amp;F$7&amp;",,,,"&amp;$H$1&amp;")"),"")</f>
        <v>0</v>
      </c>
      <c r="G67" s="49" cm="1">
        <f t="array" ref="G67">IFERROR(_xll.FDS($A$1,""&amp;$B67&amp;"("&amp;(CHOOSE($F$1,$U$4,$V$4))&amp;","&amp;G$7&amp;",,,,"&amp;$H$1&amp;")"),"")</f>
        <v>0</v>
      </c>
      <c r="H67" s="49" cm="1">
        <f t="array" ref="H67">IFERROR(_xll.FDS($A$1,""&amp;$B67&amp;"("&amp;(CHOOSE($F$1,$U$4,$V$4))&amp;","&amp;H$7&amp;",,,,"&amp;$H$1&amp;")"),"")</f>
        <v>0</v>
      </c>
      <c r="I67" s="49" cm="1">
        <f t="array" ref="I67">IFERROR(_xll.FDS($A$1,""&amp;$B67&amp;"("&amp;(CHOOSE($F$1,$U$4,$V$4))&amp;","&amp;I$7&amp;",,,,"&amp;$H$1&amp;")"),"")</f>
        <v>0</v>
      </c>
      <c r="J67" s="49" cm="1">
        <f t="array" ref="J67">IFERROR(_xll.FDS($A$1,""&amp;$B67&amp;"("&amp;(CHOOSE($F$1,$U$4,$V$4))&amp;","&amp;J$7&amp;",,,,"&amp;$H$1&amp;")"),"")</f>
        <v>0</v>
      </c>
      <c r="K67" s="49" cm="1">
        <f t="array" ref="K67">IFERROR(_xll.FDS($A$1,""&amp;$B67&amp;"("&amp;(CHOOSE($F$1,$U$4,$V$4))&amp;","&amp;K$7&amp;",,,,"&amp;$H$1&amp;")"),"")</f>
        <v>0</v>
      </c>
      <c r="L67" s="49" cm="1">
        <f t="array" ref="L67">IFERROR(_xll.FDS($A$1,""&amp;$B67&amp;"("&amp;(CHOOSE($F$1,$U$4,$V$4))&amp;","&amp;L$7&amp;",,,,"&amp;$H$1&amp;")"),"")</f>
        <v>0</v>
      </c>
      <c r="M67" s="49" cm="1">
        <f t="array" ref="M67">IFERROR(_xll.FDS($A$1,""&amp;$B67&amp;"("&amp;(CHOOSE($F$1,$U$4,$V$4))&amp;","&amp;M$7&amp;",,,,"&amp;$H$1&amp;")"),"")</f>
        <v>44</v>
      </c>
      <c r="N67" s="49" cm="1">
        <f t="array" ref="N67">IFERROR(_xll.FDS($A$1,""&amp;$B67&amp;"("&amp;(CHOOSE($F$1,$U$4,$V$4))&amp;","&amp;N$7&amp;",,,,"&amp;$H$1&amp;")"),"")</f>
        <v>0</v>
      </c>
      <c r="O67" s="49" cm="1">
        <f t="array" ref="O67">IFERROR(_xll.FDS($A$1,""&amp;$B67&amp;"("&amp;(CHOOSE($F$1,$U$4,$V$4))&amp;","&amp;O$7&amp;",,,,"&amp;$H$1&amp;")"),"")</f>
        <v>14.5</v>
      </c>
    </row>
    <row r="68" spans="1:15" x14ac:dyDescent="0.3">
      <c r="A68" s="42" t="s">
        <v>177</v>
      </c>
      <c r="B68" t="s">
        <v>389</v>
      </c>
      <c r="E68" s="50" cm="1">
        <f t="array" ref="E68">IFERROR(_xll.FDS($A$1,""&amp;$B68&amp;"("&amp;(CHOOSE($F$1,$Z$4,#REF!))&amp;","&amp;E$7&amp;",,,,"&amp;$H$1&amp;")"),"")</f>
        <v>-1.2110000000000001</v>
      </c>
      <c r="F68" s="50" cm="1">
        <f t="array" ref="F68">IFERROR(_xll.FDS($A$1,""&amp;$B68&amp;"("&amp;(CHOOSE($F$1,$Z$4,#REF!))&amp;","&amp;F$7&amp;",,,,"&amp;$H$1&amp;")"),"")</f>
        <v>-90.04</v>
      </c>
      <c r="G68" s="50" cm="1">
        <f t="array" ref="G68">IFERROR(_xll.FDS($A$1,""&amp;$B68&amp;"("&amp;(CHOOSE($F$1,$Z$4,#REF!))&amp;","&amp;G$7&amp;",,,,"&amp;$H$1&amp;")"),"")</f>
        <v>-18.652000000000001</v>
      </c>
      <c r="H68" s="50" cm="1">
        <f t="array" ref="H68">IFERROR(_xll.FDS($A$1,""&amp;$B68&amp;"("&amp;(CHOOSE($F$1,$Z$4,#REF!))&amp;","&amp;H$7&amp;",,,,"&amp;$H$1&amp;")"),"")</f>
        <v>-80.373999999999995</v>
      </c>
      <c r="I68" s="50" cm="1">
        <f t="array" ref="I68">IFERROR(_xll.FDS($A$1,""&amp;$B68&amp;"("&amp;(CHOOSE($F$1,$Z$4,#REF!))&amp;","&amp;I$7&amp;",,,,"&amp;$H$1&amp;")"),"")</f>
        <v>-51.091999999999999</v>
      </c>
      <c r="J68" s="50" cm="1">
        <f t="array" ref="J68">IFERROR(_xll.FDS($A$1,""&amp;$B68&amp;"("&amp;(CHOOSE($F$1,$Z$4,#REF!))&amp;","&amp;J$7&amp;",,,,"&amp;$H$1&amp;")"),"")</f>
        <v>-92.338999999999999</v>
      </c>
      <c r="K68" s="50" cm="1">
        <f t="array" ref="K68">IFERROR(_xll.FDS($A$1,""&amp;$B68&amp;"("&amp;(CHOOSE($F$1,$Z$4,#REF!))&amp;","&amp;K$7&amp;",,,,"&amp;$H$1&amp;")"),"")</f>
        <v>-19.07</v>
      </c>
      <c r="L68" s="50" cm="1">
        <f t="array" ref="L68">IFERROR(_xll.FDS($A$1,""&amp;$B68&amp;"("&amp;(CHOOSE($F$1,$Z$4,#REF!))&amp;","&amp;L$7&amp;",,,,"&amp;$H$1&amp;")"),"")</f>
        <v>48.338000000000001</v>
      </c>
      <c r="M68" s="50" cm="1">
        <f t="array" ref="M68">IFERROR(_xll.FDS($A$1,""&amp;$B68&amp;"("&amp;(CHOOSE($F$1,$Z$4,#REF!))&amp;","&amp;M$7&amp;",,,,"&amp;$H$1&amp;")"),"")</f>
        <v>141.12899999999999</v>
      </c>
      <c r="N68" s="50" cm="1">
        <f t="array" ref="N68">IFERROR(_xll.FDS($A$1,""&amp;$B68&amp;"("&amp;(CHOOSE($F$1,$Z$4,#REF!))&amp;","&amp;N$7&amp;",,,,"&amp;$H$1&amp;")"),"")</f>
        <v>125.255</v>
      </c>
      <c r="O68" s="50" cm="1">
        <f t="array" ref="O68">IFERROR(_xll.FDS($A$1,""&amp;$B68&amp;"("&amp;(CHOOSE($F$1,$Z$4,#REF!))&amp;","&amp;O$7&amp;",,,,"&amp;$H$1&amp;")"),"")</f>
        <v>-440.654</v>
      </c>
    </row>
    <row r="69" spans="1:15" x14ac:dyDescent="0.3">
      <c r="A69" s="3"/>
      <c r="E69" s="57"/>
      <c r="F69" s="57"/>
      <c r="G69" s="57"/>
      <c r="H69" s="57"/>
      <c r="I69" s="57"/>
      <c r="J69" s="57"/>
      <c r="K69" s="57"/>
      <c r="L69" s="57"/>
      <c r="M69" s="57"/>
      <c r="N69" s="57"/>
      <c r="O69" s="57"/>
    </row>
    <row r="70" spans="1:15" x14ac:dyDescent="0.3">
      <c r="A70" s="42" t="s">
        <v>183</v>
      </c>
      <c r="E70" s="57"/>
      <c r="F70" s="57"/>
      <c r="G70" s="57"/>
      <c r="H70" s="57"/>
      <c r="I70" s="57"/>
      <c r="J70" s="57"/>
      <c r="K70" s="57"/>
      <c r="L70" s="57"/>
      <c r="M70" s="57"/>
      <c r="N70" s="57"/>
      <c r="O70" s="57"/>
    </row>
    <row r="71" spans="1:15" x14ac:dyDescent="0.3">
      <c r="A71" s="3" t="s">
        <v>184</v>
      </c>
      <c r="B71" t="s">
        <v>390</v>
      </c>
      <c r="E71" s="49" cm="1">
        <f t="array" ref="E71">-IFERROR(_xll.FDS($A$1,""&amp;$B71&amp;"("&amp;(CHOOSE($F$1,$Z$4,#REF!))&amp;","&amp;E$7&amp;",,,,"&amp;$H$1&amp;")"),"")</f>
        <v>-8.5609999999999999</v>
      </c>
      <c r="F71" s="49" cm="1">
        <f t="array" ref="F71">-IFERROR(_xll.FDS($A$1,""&amp;$B71&amp;"("&amp;(CHOOSE($F$1,$Z$4,#REF!))&amp;","&amp;F$7&amp;",,,,"&amp;$H$1&amp;")"),"")</f>
        <v>-10.901999999999999</v>
      </c>
      <c r="G71" s="49" cm="1">
        <f t="array" ref="G71">-IFERROR(_xll.FDS($A$1,""&amp;$B71&amp;"("&amp;(CHOOSE($F$1,$Z$4,#REF!))&amp;","&amp;G$7&amp;",,,,"&amp;$H$1&amp;")"),"")</f>
        <v>-12.355</v>
      </c>
      <c r="H71" s="49" cm="1">
        <f t="array" ref="H71">-IFERROR(_xll.FDS($A$1,""&amp;$B71&amp;"("&amp;(CHOOSE($F$1,$Z$4,#REF!))&amp;","&amp;H$7&amp;",,,,"&amp;$H$1&amp;")"),"")</f>
        <v>-12.428000000000001</v>
      </c>
      <c r="I71" s="49" cm="1">
        <f t="array" ref="I71">-IFERROR(_xll.FDS($A$1,""&amp;$B71&amp;"("&amp;(CHOOSE($F$1,$Z$4,#REF!))&amp;","&amp;I$7&amp;",,,,"&amp;$H$1&amp;")"),"")</f>
        <v>-12.438000000000001</v>
      </c>
      <c r="J71" s="49" cm="1">
        <f t="array" ref="J71">-IFERROR(_xll.FDS($A$1,""&amp;$B71&amp;"("&amp;(CHOOSE($F$1,$Z$4,#REF!))&amp;","&amp;J$7&amp;",,,,"&amp;$H$1&amp;")"),"")</f>
        <v>-13.906000000000001</v>
      </c>
      <c r="K71" s="49" cm="1">
        <f t="array" ref="K71">-IFERROR(_xll.FDS($A$1,""&amp;$B71&amp;"("&amp;(CHOOSE($F$1,$Z$4,#REF!))&amp;","&amp;K$7&amp;",,,,"&amp;$H$1&amp;")"),"")</f>
        <v>-11.318</v>
      </c>
      <c r="L71" s="49" cm="1">
        <f t="array" ref="L71">-IFERROR(_xll.FDS($A$1,""&amp;$B71&amp;"("&amp;(CHOOSE($F$1,$Z$4,#REF!))&amp;","&amp;L$7&amp;",,,,"&amp;$H$1&amp;")"),"")</f>
        <v>-13.012</v>
      </c>
      <c r="M71" s="49" cm="1">
        <f t="array" ref="M71">-IFERROR(_xll.FDS($A$1,""&amp;$B71&amp;"("&amp;(CHOOSE($F$1,$Z$4,#REF!))&amp;","&amp;M$7&amp;",,,,"&amp;$H$1&amp;")"),"")</f>
        <v>-12.694000000000001</v>
      </c>
      <c r="N71" s="49" cm="1">
        <f t="array" ref="N71">-IFERROR(_xll.FDS($A$1,""&amp;$B71&amp;"("&amp;(CHOOSE($F$1,$Z$4,#REF!))&amp;","&amp;N$7&amp;",,,,"&amp;$H$1&amp;")"),"")</f>
        <v>-14.065</v>
      </c>
      <c r="O71" s="49" cm="1">
        <f t="array" ref="O71">-IFERROR(_xll.FDS($A$1,""&amp;$B71&amp;"("&amp;(CHOOSE($F$1,$Z$4,#REF!))&amp;","&amp;O$7&amp;",,,,"&amp;$H$1&amp;")"),"")</f>
        <v>-15.233000000000001</v>
      </c>
    </row>
    <row r="72" spans="1:15" x14ac:dyDescent="0.3">
      <c r="A72" s="3" t="s">
        <v>186</v>
      </c>
      <c r="B72" t="s">
        <v>391</v>
      </c>
      <c r="E72" s="49" cm="1">
        <f t="array" ref="E72">IFERROR(_xll.FDS($A$1,""&amp;$B72&amp;"("&amp;(CHOOSE($F$1,$Z$4,$AA$4))&amp;","&amp;E$7&amp;",,,,"&amp;$H$1&amp;")"),"")</f>
        <v>0</v>
      </c>
      <c r="F72" s="49" cm="1">
        <f t="array" ref="F72">IFERROR(_xll.FDS($A$1,""&amp;$B72&amp;"("&amp;(CHOOSE($F$1,$Z$4,$AA$4))&amp;","&amp;F$7&amp;",,,,"&amp;$H$1&amp;")"),"")</f>
        <v>138.47999999999999</v>
      </c>
      <c r="G72" s="49" cm="1">
        <f t="array" ref="G72">IFERROR(_xll.FDS($A$1,""&amp;$B72&amp;"("&amp;(CHOOSE($F$1,$Z$4,$AA$4))&amp;","&amp;G$7&amp;",,,,"&amp;$H$1&amp;")"),"")</f>
        <v>0</v>
      </c>
      <c r="H72" s="49" cm="1">
        <f t="array" ref="H72">IFERROR(_xll.FDS($A$1,""&amp;$B72&amp;"("&amp;(CHOOSE($F$1,$Z$4,$AA$4))&amp;","&amp;H$7&amp;",,,,"&amp;$H$1&amp;")"),"")</f>
        <v>0</v>
      </c>
      <c r="I72" s="49" cm="1">
        <f t="array" ref="I72">IFERROR(_xll.FDS($A$1,""&amp;$B72&amp;"("&amp;(CHOOSE($F$1,$Z$4,$AA$4))&amp;","&amp;I$7&amp;",,,,"&amp;$H$1&amp;")"),"")</f>
        <v>7.2969999999999997</v>
      </c>
      <c r="J72" s="49" cm="1">
        <f t="array" ref="J72">IFERROR(_xll.FDS($A$1,""&amp;$B72&amp;"("&amp;(CHOOSE($F$1,$Z$4,$AA$4))&amp;","&amp;J$7&amp;",,,,"&amp;$H$1&amp;")"),"")</f>
        <v>97.66</v>
      </c>
      <c r="K72" s="49" cm="1">
        <f t="array" ref="K72">IFERROR(_xll.FDS($A$1,""&amp;$B72&amp;"("&amp;(CHOOSE($F$1,$Z$4,$AA$4))&amp;","&amp;K$7&amp;",,,,"&amp;$H$1&amp;")"),"")</f>
        <v>4.7679999999999998</v>
      </c>
      <c r="L72" s="49" cm="1">
        <f t="array" ref="L72">IFERROR(_xll.FDS($A$1,""&amp;$B72&amp;"("&amp;(CHOOSE($F$1,$Z$4,$AA$4))&amp;","&amp;L$7&amp;",,,,"&amp;$H$1&amp;")"),"")</f>
        <v>-82.027000000000001</v>
      </c>
      <c r="M72" s="49" cm="1">
        <f t="array" ref="M72">IFERROR(_xll.FDS($A$1,""&amp;$B72&amp;"("&amp;(CHOOSE($F$1,$Z$4,$AA$4))&amp;","&amp;M$7&amp;",,,,"&amp;$H$1&amp;")"),"")</f>
        <v>2.3279999999999998</v>
      </c>
      <c r="N72" s="49" cm="1">
        <f t="array" ref="N72">IFERROR(_xll.FDS($A$1,""&amp;$B72&amp;"("&amp;(CHOOSE($F$1,$Z$4,$AA$4))&amp;","&amp;N$7&amp;",,,,"&amp;$H$1&amp;")"),"")</f>
        <v>-9.7200000000000006</v>
      </c>
      <c r="O72" s="49" cm="1">
        <f t="array" ref="O72">IFERROR(_xll.FDS($A$1,""&amp;$B72&amp;"("&amp;(CHOOSE($F$1,$Z$4,$AA$4))&amp;","&amp;O$7&amp;",,,,"&amp;$H$1&amp;")"),"")</f>
        <v>150.44999999999999</v>
      </c>
    </row>
    <row r="73" spans="1:15" x14ac:dyDescent="0.3">
      <c r="A73" s="3" t="s">
        <v>187</v>
      </c>
      <c r="B73" t="s">
        <v>392</v>
      </c>
      <c r="E73" s="49" cm="1">
        <f t="array" ref="E73">IFERROR(_xll.FDS($A$1,""&amp;$B73&amp;"("&amp;(CHOOSE($F$1,$Z$4,#REF!))&amp;","&amp;E$7&amp;",,,,"&amp;$H$1&amp;")"),"")</f>
        <v>32.234000000000002</v>
      </c>
      <c r="F73" s="49" cm="1">
        <f t="array" ref="F73">IFERROR(_xll.FDS($A$1,""&amp;$B73&amp;"("&amp;(CHOOSE($F$1,$Z$4,#REF!))&amp;","&amp;F$7&amp;",,,,"&amp;$H$1&amp;")"),"")</f>
        <v>-30.885999999999999</v>
      </c>
      <c r="G73" s="49" cm="1">
        <f t="array" ref="G73">IFERROR(_xll.FDS($A$1,""&amp;$B73&amp;"("&amp;(CHOOSE($F$1,$Z$4,#REF!))&amp;","&amp;G$7&amp;",,,,"&amp;$H$1&amp;")"),"")</f>
        <v>-38.905999999999999</v>
      </c>
      <c r="H73" s="49" cm="1">
        <f t="array" ref="H73">IFERROR(_xll.FDS($A$1,""&amp;$B73&amp;"("&amp;(CHOOSE($F$1,$Z$4,#REF!))&amp;","&amp;H$7&amp;",,,,"&amp;$H$1&amp;")"),"")</f>
        <v>-2.1389999999999998</v>
      </c>
      <c r="I73" s="49" cm="1">
        <f t="array" ref="I73">IFERROR(_xll.FDS($A$1,""&amp;$B73&amp;"("&amp;(CHOOSE($F$1,$Z$4,#REF!))&amp;","&amp;I$7&amp;",,,,"&amp;$H$1&amp;")"),"")</f>
        <v>-20.34</v>
      </c>
      <c r="J73" s="49" cm="1">
        <f t="array" ref="J73">IFERROR(_xll.FDS($A$1,""&amp;$B73&amp;"("&amp;(CHOOSE($F$1,$Z$4,#REF!))&amp;","&amp;J$7&amp;",,,,"&amp;$H$1&amp;")"),"")</f>
        <v>-45.796999999999997</v>
      </c>
      <c r="K73" s="49" cm="1">
        <f t="array" ref="K73">IFERROR(_xll.FDS($A$1,""&amp;$B73&amp;"("&amp;(CHOOSE($F$1,$Z$4,#REF!))&amp;","&amp;K$7&amp;",,,,"&amp;$H$1&amp;")"),"")</f>
        <v>-21.166</v>
      </c>
      <c r="L73" s="49" cm="1">
        <f t="array" ref="L73">IFERROR(_xll.FDS($A$1,""&amp;$B73&amp;"("&amp;(CHOOSE($F$1,$Z$4,#REF!))&amp;","&amp;L$7&amp;",,,,"&amp;$H$1&amp;")"),"")</f>
        <v>-19.991</v>
      </c>
      <c r="M73" s="49" cm="1">
        <f t="array" ref="M73">IFERROR(_xll.FDS($A$1,""&amp;$B73&amp;"("&amp;(CHOOSE($F$1,$Z$4,#REF!))&amp;","&amp;M$7&amp;",,,,"&amp;$H$1&amp;")"),"")</f>
        <v>-6.6449999999999996</v>
      </c>
      <c r="N73" s="49" cm="1">
        <f t="array" ref="N73">IFERROR(_xll.FDS($A$1,""&amp;$B73&amp;"("&amp;(CHOOSE($F$1,$Z$4,#REF!))&amp;","&amp;N$7&amp;",,,,"&amp;$H$1&amp;")"),"")</f>
        <v>-1.3140000000000001</v>
      </c>
      <c r="O73" s="49" cm="1">
        <f t="array" ref="O73">IFERROR(_xll.FDS($A$1,""&amp;$B73&amp;"("&amp;(CHOOSE($F$1,$Z$4,#REF!))&amp;","&amp;O$7&amp;",,,,"&amp;$H$1&amp;")"),"")</f>
        <v>-88.311999999999998</v>
      </c>
    </row>
    <row r="74" spans="1:15" x14ac:dyDescent="0.3">
      <c r="A74" s="3" t="s">
        <v>163</v>
      </c>
      <c r="B74" t="s">
        <v>393</v>
      </c>
      <c r="E74" s="49" cm="1">
        <f t="array" ref="E74">IFERROR(_xll.FDS($A$1,""&amp;$B74&amp;"("&amp;(CHOOSE($F$1,$Z$4,$AA$4))&amp;","&amp;E$7&amp;",,,,"&amp;$H$1&amp;")"),"")</f>
        <v>1.161</v>
      </c>
      <c r="F74" s="49" cm="1">
        <f t="array" ref="F74">IFERROR(_xll.FDS($A$1,""&amp;$B74&amp;"("&amp;(CHOOSE($F$1,$Z$4,$AA$4))&amp;","&amp;F$7&amp;",,,,"&amp;$H$1&amp;")"),"")</f>
        <v>1.06</v>
      </c>
      <c r="G74" s="49" cm="1">
        <f t="array" ref="G74">IFERROR(_xll.FDS($A$1,""&amp;$B74&amp;"("&amp;(CHOOSE($F$1,$Z$4,$AA$4))&amp;","&amp;G$7&amp;",,,,"&amp;$H$1&amp;")"),"")</f>
        <v>2.08</v>
      </c>
      <c r="H74" s="49" cm="1">
        <f t="array" ref="H74">IFERROR(_xll.FDS($A$1,""&amp;$B74&amp;"("&amp;(CHOOSE($F$1,$Z$4,$AA$4))&amp;","&amp;H$7&amp;",,,,"&amp;$H$1&amp;")"),"")</f>
        <v>2.2949999999999999</v>
      </c>
      <c r="I74" s="49" cm="1">
        <f t="array" ref="I74">IFERROR(_xll.FDS($A$1,""&amp;$B74&amp;"("&amp;(CHOOSE($F$1,$Z$4,$AA$4))&amp;","&amp;I$7&amp;",,,,"&amp;$H$1&amp;")"),"")</f>
        <v>0.64100000000000001</v>
      </c>
      <c r="J74" s="49" cm="1">
        <f t="array" ref="J74">IFERROR(_xll.FDS($A$1,""&amp;$B74&amp;"("&amp;(CHOOSE($F$1,$Z$4,$AA$4))&amp;","&amp;J$7&amp;",,,,"&amp;$H$1&amp;")"),"")</f>
        <v>0</v>
      </c>
      <c r="K74" s="49" cm="1">
        <f t="array" ref="K74">IFERROR(_xll.FDS($A$1,""&amp;$B74&amp;"("&amp;(CHOOSE($F$1,$Z$4,$AA$4))&amp;","&amp;K$7&amp;",,,,"&amp;$H$1&amp;")"),"")</f>
        <v>0</v>
      </c>
      <c r="L74" s="49" cm="1">
        <f t="array" ref="L74">IFERROR(_xll.FDS($A$1,""&amp;$B74&amp;"("&amp;(CHOOSE($F$1,$Z$4,$AA$4))&amp;","&amp;L$7&amp;",,,,"&amp;$H$1&amp;")"),"")</f>
        <v>0</v>
      </c>
      <c r="M74" s="49" cm="1">
        <f t="array" ref="M74">IFERROR(_xll.FDS($A$1,""&amp;$B74&amp;"("&amp;(CHOOSE($F$1,$Z$4,$AA$4))&amp;","&amp;M$7&amp;",,,,"&amp;$H$1&amp;")"),"")</f>
        <v>0</v>
      </c>
      <c r="N74" s="49" cm="1">
        <f t="array" ref="N74">IFERROR(_xll.FDS($A$1,""&amp;$B74&amp;"("&amp;(CHOOSE($F$1,$Z$4,$AA$4))&amp;","&amp;N$7&amp;",,,,"&amp;$H$1&amp;")"),"")</f>
        <v>-2.5419999999999998</v>
      </c>
      <c r="O74" s="49" cm="1">
        <f t="array" ref="O74">IFERROR(_xll.FDS($A$1,""&amp;$B74&amp;"("&amp;(CHOOSE($F$1,$Z$4,$AA$4))&amp;","&amp;O$7&amp;",,,,"&amp;$H$1&amp;")"),"")</f>
        <v>-5.508</v>
      </c>
    </row>
    <row r="75" spans="1:15" x14ac:dyDescent="0.3">
      <c r="A75" s="42" t="s">
        <v>188</v>
      </c>
      <c r="B75" t="s">
        <v>394</v>
      </c>
      <c r="E75" s="50" cm="1">
        <f t="array" ref="E75">IFERROR(_xll.FDS($A$1,""&amp;$B75&amp;"("&amp;(CHOOSE($F$1,$Z$4,#REF!))&amp;","&amp;E$7&amp;",,,,"&amp;$H$1&amp;")"),"")</f>
        <v>24.798999999999999</v>
      </c>
      <c r="F75" s="50" cm="1">
        <f t="array" ref="F75">IFERROR(_xll.FDS($A$1,""&amp;$B75&amp;"("&amp;(CHOOSE($F$1,$Z$4,#REF!))&amp;","&amp;F$7&amp;",,,,"&amp;$H$1&amp;")"),"")</f>
        <v>97.751999999999995</v>
      </c>
      <c r="G75" s="50" cm="1">
        <f t="array" ref="G75">IFERROR(_xll.FDS($A$1,""&amp;$B75&amp;"("&amp;(CHOOSE($F$1,$Z$4,#REF!))&amp;","&amp;G$7&amp;",,,,"&amp;$H$1&amp;")"),"")</f>
        <v>-49.414999999999999</v>
      </c>
      <c r="H75" s="50" cm="1">
        <f t="array" ref="H75">IFERROR(_xll.FDS($A$1,""&amp;$B75&amp;"("&amp;(CHOOSE($F$1,$Z$4,#REF!))&amp;","&amp;H$7&amp;",,,,"&amp;$H$1&amp;")"),"")</f>
        <v>-12.272</v>
      </c>
      <c r="I75" s="50" cm="1">
        <f t="array" ref="I75">IFERROR(_xll.FDS($A$1,""&amp;$B75&amp;"("&amp;(CHOOSE($F$1,$Z$4,#REF!))&amp;","&amp;I$7&amp;",,,,"&amp;$H$1&amp;")"),"")</f>
        <v>-24.84</v>
      </c>
      <c r="J75" s="50" cm="1">
        <f t="array" ref="J75">IFERROR(_xll.FDS($A$1,""&amp;$B75&amp;"("&amp;(CHOOSE($F$1,$Z$4,#REF!))&amp;","&amp;J$7&amp;",,,,"&amp;$H$1&amp;")"),"")</f>
        <v>37.957000000000001</v>
      </c>
      <c r="K75" s="50" cm="1">
        <f t="array" ref="K75">IFERROR(_xll.FDS($A$1,""&amp;$B75&amp;"("&amp;(CHOOSE($F$1,$Z$4,#REF!))&amp;","&amp;K$7&amp;",,,,"&amp;$H$1&amp;")"),"")</f>
        <v>-27.716000000000001</v>
      </c>
      <c r="L75" s="50" cm="1">
        <f t="array" ref="L75">IFERROR(_xll.FDS($A$1,""&amp;$B75&amp;"("&amp;(CHOOSE($F$1,$Z$4,#REF!))&amp;","&amp;L$7&amp;",,,,"&amp;$H$1&amp;")"),"")</f>
        <v>-115.03</v>
      </c>
      <c r="M75" s="50" cm="1">
        <f t="array" ref="M75">IFERROR(_xll.FDS($A$1,""&amp;$B75&amp;"("&amp;(CHOOSE($F$1,$Z$4,#REF!))&amp;","&amp;M$7&amp;",,,,"&amp;$H$1&amp;")"),"")</f>
        <v>-17.010999999999999</v>
      </c>
      <c r="N75" s="50" cm="1">
        <f t="array" ref="N75">IFERROR(_xll.FDS($A$1,""&amp;$B75&amp;"("&amp;(CHOOSE($F$1,$Z$4,#REF!))&amp;","&amp;N$7&amp;",,,,"&amp;$H$1&amp;")"),"")</f>
        <v>-29.687999999999999</v>
      </c>
      <c r="O75" s="50" cm="1">
        <f t="array" ref="O75">IFERROR(_xll.FDS($A$1,""&amp;$B75&amp;"("&amp;(CHOOSE($F$1,$Z$4,#REF!))&amp;","&amp;O$7&amp;",,,,"&amp;$H$1&amp;")"),"")</f>
        <v>41.396999999999998</v>
      </c>
    </row>
    <row r="76" spans="1:15" x14ac:dyDescent="0.3">
      <c r="A76" s="3"/>
      <c r="E76" s="57"/>
      <c r="F76" s="57"/>
      <c r="G76" s="57"/>
      <c r="H76" s="57"/>
      <c r="I76" s="57"/>
      <c r="J76" s="57"/>
      <c r="K76" s="57"/>
      <c r="L76" s="57"/>
      <c r="M76" s="57"/>
      <c r="N76" s="57"/>
      <c r="O76" s="57"/>
    </row>
    <row r="77" spans="1:15" x14ac:dyDescent="0.3">
      <c r="A77" s="42" t="s">
        <v>190</v>
      </c>
      <c r="E77" s="57"/>
      <c r="F77" s="57"/>
      <c r="G77" s="57"/>
      <c r="H77" s="57"/>
      <c r="I77" s="57"/>
      <c r="J77" s="57"/>
      <c r="K77" s="57"/>
      <c r="L77" s="57"/>
      <c r="M77" s="57"/>
      <c r="N77" s="57"/>
      <c r="O77" s="57"/>
    </row>
    <row r="78" spans="1:15" x14ac:dyDescent="0.3">
      <c r="A78" s="3" t="s">
        <v>191</v>
      </c>
      <c r="B78" t="s">
        <v>395</v>
      </c>
      <c r="E78" s="49" cm="1">
        <f t="array" ref="E78">IFERROR(_xll.FDS($A$1,""&amp;$B78&amp;"("&amp;(CHOOSE($F$1,$Z$4,#REF!))&amp;","&amp;E$7&amp;",,,,"&amp;$H$1&amp;")"),"")</f>
        <v>5.0000000000000001E-3</v>
      </c>
      <c r="F78" s="49" t="str" cm="1">
        <f t="array" ref="F78">IFERROR(_xll.FDS($A$1,""&amp;$B78&amp;"("&amp;(CHOOSE($F$1,$Z$4,#REF!))&amp;","&amp;F$7&amp;",,,,"&amp;$H$1&amp;")"),"")</f>
        <v/>
      </c>
      <c r="G78" s="49" cm="1">
        <f t="array" ref="G78">IFERROR(_xll.FDS($A$1,""&amp;$B78&amp;"("&amp;(CHOOSE($F$1,$Z$4,#REF!))&amp;","&amp;G$7&amp;",,,,"&amp;$H$1&amp;")"),"")</f>
        <v>-2.9000000000000001E-2</v>
      </c>
      <c r="H78" s="49" cm="1">
        <f t="array" ref="H78">IFERROR(_xll.FDS($A$1,""&amp;$B78&amp;"("&amp;(CHOOSE($F$1,$Z$4,#REF!))&amp;","&amp;H$7&amp;",,,,"&amp;$H$1&amp;")"),"")</f>
        <v>-6.0999999999999999E-2</v>
      </c>
      <c r="I78" s="49" cm="1">
        <f t="array" ref="I78">IFERROR(_xll.FDS($A$1,""&amp;$B78&amp;"("&amp;(CHOOSE($F$1,$Z$4,#REF!))&amp;","&amp;I$7&amp;",,,,"&amp;$H$1&amp;")"),"")</f>
        <v>3.0000000000000001E-3</v>
      </c>
      <c r="J78" s="49" cm="1">
        <f t="array" ref="J78">IFERROR(_xll.FDS($A$1,""&amp;$B78&amp;"("&amp;(CHOOSE($F$1,$Z$4,#REF!))&amp;","&amp;J$7&amp;",,,,"&amp;$H$1&amp;")"),"")</f>
        <v>6.0999999999999999E-2</v>
      </c>
      <c r="K78" s="49" cm="1">
        <f t="array" ref="K78">IFERROR(_xll.FDS($A$1,""&amp;$B78&amp;"("&amp;(CHOOSE($F$1,$Z$4,#REF!))&amp;","&amp;K$7&amp;",,,,"&amp;$H$1&amp;")"),"")</f>
        <v>-0.16400000000000001</v>
      </c>
      <c r="L78" s="49" cm="1">
        <f t="array" ref="L78">IFERROR(_xll.FDS($A$1,""&amp;$B78&amp;"("&amp;(CHOOSE($F$1,$Z$4,#REF!))&amp;","&amp;L$7&amp;",,,,"&amp;$H$1&amp;")"),"")</f>
        <v>-2.1999999999999999E-2</v>
      </c>
      <c r="M78" s="49" cm="1">
        <f t="array" ref="M78">IFERROR(_xll.FDS($A$1,""&amp;$B78&amp;"("&amp;(CHOOSE($F$1,$Z$4,#REF!))&amp;","&amp;M$7&amp;",,,,"&amp;$H$1&amp;")"),"")</f>
        <v>2E-3</v>
      </c>
      <c r="N78" s="49" cm="1">
        <f t="array" ref="N78">IFERROR(_xll.FDS($A$1,""&amp;$B78&amp;"("&amp;(CHOOSE($F$1,$Z$4,#REF!))&amp;","&amp;N$7&amp;",,,,"&amp;$H$1&amp;")"),"")</f>
        <v>-5.3999999999999999E-2</v>
      </c>
      <c r="O78" s="49" cm="1">
        <f t="array" ref="O78">IFERROR(_xll.FDS($A$1,""&amp;$B78&amp;"("&amp;(CHOOSE($F$1,$Z$4,#REF!))&amp;","&amp;O$7&amp;",,,,"&amp;$H$1&amp;")"),"")</f>
        <v>-9.8000000000000004E-2</v>
      </c>
    </row>
    <row r="79" spans="1:15" x14ac:dyDescent="0.3">
      <c r="A79" s="3" t="s">
        <v>192</v>
      </c>
      <c r="B79" t="s">
        <v>396</v>
      </c>
      <c r="E79" s="49" cm="1">
        <f t="array" ref="E79">IFERROR(_xll.FDS($A$1,""&amp;$B79&amp;"("&amp;(CHOOSE($F$1,$Z$4,#REF!))&amp;","&amp;E$7&amp;",,,,"&amp;$H$1&amp;")"),"")</f>
        <v>129.85900000000001</v>
      </c>
      <c r="F79" s="49" cm="1">
        <f t="array" ref="F79">IFERROR(_xll.FDS($A$1,""&amp;$B79&amp;"("&amp;(CHOOSE($F$1,$Z$4,#REF!))&amp;","&amp;F$7&amp;",,,,"&amp;$H$1&amp;")"),"")</f>
        <v>63.183999999999997</v>
      </c>
      <c r="G79" s="49" cm="1">
        <f t="array" ref="G79">IFERROR(_xll.FDS($A$1,""&amp;$B79&amp;"("&amp;(CHOOSE($F$1,$Z$4,#REF!))&amp;","&amp;G$7&amp;",,,,"&amp;$H$1&amp;")"),"")</f>
        <v>21.318000000000001</v>
      </c>
      <c r="H79" s="49" cm="1">
        <f t="array" ref="H79">IFERROR(_xll.FDS($A$1,""&amp;$B79&amp;"("&amp;(CHOOSE($F$1,$Z$4,#REF!))&amp;","&amp;H$7&amp;",,,,"&amp;$H$1&amp;")"),"")</f>
        <v>-46.677999999999997</v>
      </c>
      <c r="I79" s="49" cm="1">
        <f t="array" ref="I79">IFERROR(_xll.FDS($A$1,""&amp;$B79&amp;"("&amp;(CHOOSE($F$1,$Z$4,#REF!))&amp;","&amp;I$7&amp;",,,,"&amp;$H$1&amp;")"),"")</f>
        <v>12.792999999999999</v>
      </c>
      <c r="J79" s="49" cm="1">
        <f t="array" ref="J79">IFERROR(_xll.FDS($A$1,""&amp;$B79&amp;"("&amp;(CHOOSE($F$1,$Z$4,#REF!))&amp;","&amp;J$7&amp;",,,,"&amp;$H$1&amp;")"),"")</f>
        <v>-24.646999999999998</v>
      </c>
      <c r="K79" s="49" cm="1">
        <f t="array" ref="K79">IFERROR(_xll.FDS($A$1,""&amp;$B79&amp;"("&amp;(CHOOSE($F$1,$Z$4,#REF!))&amp;","&amp;K$7&amp;",,,,"&amp;$H$1&amp;")"),"")</f>
        <v>-16.535</v>
      </c>
      <c r="L79" s="49" cm="1">
        <f t="array" ref="L79">IFERROR(_xll.FDS($A$1,""&amp;$B79&amp;"("&amp;(CHOOSE($F$1,$Z$4,#REF!))&amp;","&amp;L$7&amp;",,,,"&amp;$H$1&amp;")"),"")</f>
        <v>-10.24</v>
      </c>
      <c r="M79" s="49" cm="1">
        <f t="array" ref="M79">IFERROR(_xll.FDS($A$1,""&amp;$B79&amp;"("&amp;(CHOOSE($F$1,$Z$4,#REF!))&amp;","&amp;M$7&amp;",,,,"&amp;$H$1&amp;")"),"")</f>
        <v>203.82300000000001</v>
      </c>
      <c r="N79" s="49" cm="1">
        <f t="array" ref="N79">IFERROR(_xll.FDS($A$1,""&amp;$B79&amp;"("&amp;(CHOOSE($F$1,$Z$4,#REF!))&amp;","&amp;N$7&amp;",,,,"&amp;$H$1&amp;")"),"")</f>
        <v>197.602</v>
      </c>
      <c r="O79" s="49" cm="1">
        <f t="array" ref="O79">IFERROR(_xll.FDS($A$1,""&amp;$B79&amp;"("&amp;(CHOOSE($F$1,$Z$4,#REF!))&amp;","&amp;O$7&amp;",,,,"&amp;$H$1&amp;")"),"")</f>
        <v>-393.58</v>
      </c>
    </row>
    <row r="80" spans="1:15" x14ac:dyDescent="0.3">
      <c r="A80" s="3" t="s">
        <v>193</v>
      </c>
      <c r="B80" t="s">
        <v>397</v>
      </c>
      <c r="E80" s="49" cm="1">
        <f t="array" ref="E80">IFERROR(_xll.FDS($A$1,""&amp;$B80&amp;"("&amp;(CHOOSE($F$1,$Z$4,#REF!))&amp;","&amp;E$7&amp;",,,,"&amp;$H$1&amp;")"),"")</f>
        <v>96.509</v>
      </c>
      <c r="F80" s="49" cm="1">
        <f t="array" ref="F80">IFERROR(_xll.FDS($A$1,""&amp;$B80&amp;"("&amp;(CHOOSE($F$1,$Z$4,#REF!))&amp;","&amp;F$7&amp;",,,,"&amp;$H$1&amp;")"),"")</f>
        <v>41.137</v>
      </c>
      <c r="G80" s="49" cm="1">
        <f t="array" ref="G80">IFERROR(_xll.FDS($A$1,""&amp;$B80&amp;"("&amp;(CHOOSE($F$1,$Z$4,#REF!))&amp;","&amp;G$7&amp;",,,,"&amp;$H$1&amp;")"),"")</f>
        <v>76.605999999999995</v>
      </c>
      <c r="H80" s="49" cm="1">
        <f t="array" ref="H80">IFERROR(_xll.FDS($A$1,""&amp;$B80&amp;"("&amp;(CHOOSE($F$1,$Z$4,#REF!))&amp;","&amp;H$7&amp;",,,,"&amp;$H$1&amp;")"),"")</f>
        <v>32.761000000000003</v>
      </c>
      <c r="I80" s="49" cm="1">
        <f t="array" ref="I80">IFERROR(_xll.FDS($A$1,""&amp;$B80&amp;"("&amp;(CHOOSE($F$1,$Z$4,#REF!))&amp;","&amp;I$7&amp;",,,,"&amp;$H$1&amp;")"),"")</f>
        <v>75.418999999999997</v>
      </c>
      <c r="J80" s="49" cm="1">
        <f t="array" ref="J80">IFERROR(_xll.FDS($A$1,""&amp;$B80&amp;"("&amp;(CHOOSE($F$1,$Z$4,#REF!))&amp;","&amp;J$7&amp;",,,,"&amp;$H$1&amp;")"),"")</f>
        <v>13.428000000000001</v>
      </c>
      <c r="K80" s="49" cm="1">
        <f t="array" ref="K80">IFERROR(_xll.FDS($A$1,""&amp;$B80&amp;"("&amp;(CHOOSE($F$1,$Z$4,#REF!))&amp;","&amp;K$7&amp;",,,,"&amp;$H$1&amp;")"),"")</f>
        <v>16.91</v>
      </c>
      <c r="L80" s="49" cm="1">
        <f t="array" ref="L80">IFERROR(_xll.FDS($A$1,""&amp;$B80&amp;"("&amp;(CHOOSE($F$1,$Z$4,#REF!))&amp;","&amp;L$7&amp;",,,,"&amp;$H$1&amp;")"),"")</f>
        <v>40.575000000000003</v>
      </c>
      <c r="M80" s="49" cm="1">
        <f t="array" ref="M80">IFERROR(_xll.FDS($A$1,""&amp;$B80&amp;"("&amp;(CHOOSE($F$1,$Z$4,#REF!))&amp;","&amp;M$7&amp;",,,,"&amp;$H$1&amp;")"),"")</f>
        <v>60.572000000000003</v>
      </c>
      <c r="N80" s="49" cm="1">
        <f t="array" ref="N80">IFERROR(_xll.FDS($A$1,""&amp;$B80&amp;"("&amp;(CHOOSE($F$1,$Z$4,#REF!))&amp;","&amp;N$7&amp;",,,,"&amp;$H$1&amp;")"),"")</f>
        <v>84.706000000000003</v>
      </c>
      <c r="O80" s="49" cm="1">
        <f t="array" ref="O80">IFERROR(_xll.FDS($A$1,""&amp;$B80&amp;"("&amp;(CHOOSE($F$1,$Z$4,#REF!))&amp;","&amp;O$7&amp;",,,,"&amp;$H$1&amp;")"),"")</f>
        <v>-15.798999999999999</v>
      </c>
    </row>
    <row r="81" spans="1:15" x14ac:dyDescent="0.3">
      <c r="A81" s="3" t="s">
        <v>195</v>
      </c>
      <c r="B81" t="s">
        <v>398</v>
      </c>
      <c r="E81" s="55" cm="1">
        <f t="array" ref="E81">IFERROR(_xll.FDS($A$1,""&amp;$B81&amp;"("&amp;(CHOOSE($F$1,$Z$4,#REF!))&amp;","&amp;E$7&amp;",,,,"&amp;$H$1&amp;")"),"")</f>
        <v>9.8348109650463709</v>
      </c>
      <c r="F81" s="55" cm="1">
        <f t="array" ref="F81">IFERROR(_xll.FDS($A$1,""&amp;$B81&amp;"("&amp;(CHOOSE($F$1,$Z$4,#REF!))&amp;","&amp;F$7&amp;",,,,"&amp;$H$1&amp;")"),"")</f>
        <v>3.69870526883654</v>
      </c>
      <c r="G81" s="55" cm="1">
        <f t="array" ref="G81">IFERROR(_xll.FDS($A$1,""&amp;$B81&amp;"("&amp;(CHOOSE($F$1,$Z$4,#REF!))&amp;","&amp;G$7&amp;",,,,"&amp;$H$1&amp;")"),"")</f>
        <v>6.55088079356935</v>
      </c>
      <c r="H81" s="55" cm="1">
        <f t="array" ref="H81">IFERROR(_xll.FDS($A$1,""&amp;$B81&amp;"("&amp;(CHOOSE($F$1,$Z$4,#REF!))&amp;","&amp;H$7&amp;",,,,"&amp;$H$1&amp;")"),"")</f>
        <v>2.88516072214883</v>
      </c>
      <c r="I81" s="55" cm="1">
        <f t="array" ref="I81">IFERROR(_xll.FDS($A$1,""&amp;$B81&amp;"("&amp;(CHOOSE($F$1,$Z$4,#REF!))&amp;","&amp;I$7&amp;",,,,"&amp;$H$1&amp;")"),"")</f>
        <v>6.93635611146878</v>
      </c>
      <c r="J81" s="55" cm="1">
        <f t="array" ref="J81">IFERROR(_xll.FDS($A$1,""&amp;$B81&amp;"("&amp;(CHOOSE($F$1,$Z$4,#REF!))&amp;","&amp;J$7&amp;",,,,"&amp;$H$1&amp;")"),"")</f>
        <v>1.5690581911661601</v>
      </c>
      <c r="K81" s="55" cm="1">
        <f t="array" ref="K81">IFERROR(_xll.FDS($A$1,""&amp;$B81&amp;"("&amp;(CHOOSE($F$1,$Z$4,#REF!))&amp;","&amp;K$7&amp;",,,,"&amp;$H$1&amp;")"),"")</f>
        <v>2.1418619379354</v>
      </c>
      <c r="L81" s="55" cm="1">
        <f t="array" ref="L81">IFERROR(_xll.FDS($A$1,""&amp;$B81&amp;"("&amp;(CHOOSE($F$1,$Z$4,#REF!))&amp;","&amp;L$7&amp;",,,,"&amp;$H$1&amp;")"),"")</f>
        <v>3.9631764016409501</v>
      </c>
      <c r="M81" s="55" cm="1">
        <f t="array" ref="M81">IFERROR(_xll.FDS($A$1,""&amp;$B81&amp;"("&amp;(CHOOSE($F$1,$Z$4,#REF!))&amp;","&amp;M$7&amp;",,,,"&amp;$H$1&amp;")"),"")</f>
        <v>6.2484010728285497</v>
      </c>
      <c r="N81" s="55" cm="1">
        <f t="array" ref="N81">IFERROR(_xll.FDS($A$1,""&amp;$B81&amp;"("&amp;(CHOOSE($F$1,$Z$4,#REF!))&amp;","&amp;N$7&amp;",,,,"&amp;$H$1&amp;")"),"")</f>
        <v>9.8724941724941697</v>
      </c>
      <c r="O81" s="55" cm="1">
        <f t="array" ref="O81">IFERROR(_xll.FDS($A$1,""&amp;$B81&amp;"("&amp;(CHOOSE($F$1,$Z$4,#REF!))&amp;","&amp;O$7&amp;",,,,"&amp;$H$1&amp;")"),"")</f>
        <v>-1.7918793240331199</v>
      </c>
    </row>
    <row r="82" spans="1:15" x14ac:dyDescent="0.3">
      <c r="A82" s="3" t="s">
        <v>196</v>
      </c>
      <c r="B82" t="s">
        <v>399</v>
      </c>
      <c r="E82" s="49" cm="1">
        <f t="array" ref="E82">IFERROR(_xll.FDS($A$1,""&amp;$B82&amp;"("&amp;(CHOOSE($F$1,$Z$4,$AA$4))&amp;","&amp;E$7&amp;",,,,"&amp;$H$1&amp;")"),"")</f>
        <v>47.305488047361102</v>
      </c>
      <c r="F82" s="49" cm="1">
        <f t="array" ref="F82">IFERROR(_xll.FDS($A$1,""&amp;$B82&amp;"("&amp;(CHOOSE($F$1,$Z$4,$AA$4))&amp;","&amp;F$7&amp;",,,,"&amp;$H$1&amp;")"),"")</f>
        <v>6.9134677922178298</v>
      </c>
      <c r="G82" s="49" cm="1">
        <f t="array" ref="G82">IFERROR(_xll.FDS($A$1,""&amp;$B82&amp;"("&amp;(CHOOSE($F$1,$Z$4,$AA$4))&amp;","&amp;G$7&amp;",,,,"&amp;$H$1&amp;")"),"")</f>
        <v>15.150048088735801</v>
      </c>
      <c r="H82" s="49" cm="1">
        <f t="array" ref="H82">IFERROR(_xll.FDS($A$1,""&amp;$B82&amp;"("&amp;(CHOOSE($F$1,$Z$4,$AA$4))&amp;","&amp;H$7&amp;",,,,"&amp;$H$1&amp;")"),"")</f>
        <v>8.2787969071702499</v>
      </c>
      <c r="I82" s="49" cm="1">
        <f t="array" ref="I82">IFERROR(_xll.FDS($A$1,""&amp;$B82&amp;"("&amp;(CHOOSE($F$1,$Z$4,$AA$4))&amp;","&amp;I$7&amp;",,,,"&amp;$H$1&amp;")"),"")</f>
        <v>17.569291062484201</v>
      </c>
      <c r="J82" s="49" cm="1">
        <f t="array" ref="J82">IFERROR(_xll.FDS($A$1,""&amp;$B82&amp;"("&amp;(CHOOSE($F$1,$Z$4,$AA$4))&amp;","&amp;J$7&amp;",,,,"&amp;$H$1&amp;")"),"")</f>
        <v>5.2476862580808001</v>
      </c>
      <c r="K82" s="49" cm="1">
        <f t="array" ref="K82">IFERROR(_xll.FDS($A$1,""&amp;$B82&amp;"("&amp;(CHOOSE($F$1,$Z$4,$AA$4))&amp;","&amp;K$7&amp;",,,,"&amp;$H$1&amp;")"),"")</f>
        <v>4.2154338475406501</v>
      </c>
      <c r="L82" s="49" cm="1">
        <f t="array" ref="L82">IFERROR(_xll.FDS($A$1,""&amp;$B82&amp;"("&amp;(CHOOSE($F$1,$Z$4,$AA$4))&amp;","&amp;L$7&amp;",,,,"&amp;$H$1&amp;")"),"")</f>
        <v>8.6816569586877304</v>
      </c>
      <c r="M82" s="49" cm="1">
        <f t="array" ref="M82">IFERROR(_xll.FDS($A$1,""&amp;$B82&amp;"("&amp;(CHOOSE($F$1,$Z$4,$AA$4))&amp;","&amp;M$7&amp;",,,,"&amp;$H$1&amp;")"),"")</f>
        <v>11.947229584758199</v>
      </c>
      <c r="N82" s="49" cm="1">
        <f t="array" ref="N82">IFERROR(_xll.FDS($A$1,""&amp;$B82&amp;"("&amp;(CHOOSE($F$1,$Z$4,$AA$4))&amp;","&amp;N$7&amp;",,,,"&amp;$H$1&amp;")"),"")</f>
        <v>11.817685147826399</v>
      </c>
      <c r="O82" s="49" cm="1">
        <f t="array" ref="O82">IFERROR(_xll.FDS($A$1,""&amp;$B82&amp;"("&amp;(CHOOSE($F$1,$Z$4,$AA$4))&amp;","&amp;O$7&amp;",,,,"&amp;$H$1&amp;")"),"")</f>
        <v>-4.5260907401695301</v>
      </c>
    </row>
    <row r="83" spans="1:15" x14ac:dyDescent="0.3">
      <c r="E83" s="57"/>
      <c r="F83" s="57"/>
      <c r="G83" s="57"/>
      <c r="H83" s="57"/>
      <c r="I83" s="57"/>
      <c r="J83" s="57"/>
      <c r="K83" s="57"/>
      <c r="L83" s="57"/>
      <c r="M83" s="57"/>
      <c r="N83" s="57"/>
      <c r="O83" s="57"/>
    </row>
    <row r="84" spans="1:15" x14ac:dyDescent="0.3">
      <c r="E84" s="57"/>
      <c r="F84" s="57"/>
      <c r="G84" s="57"/>
      <c r="H84" s="57"/>
      <c r="I84" s="57"/>
      <c r="J84" s="57"/>
      <c r="K84" s="57"/>
      <c r="L84" s="57"/>
      <c r="M84" s="57"/>
      <c r="N84" s="57"/>
      <c r="O84" s="57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49686F-7051-4A75-9656-50A2E9724009}">
  <dimension ref="A1:W82"/>
  <sheetViews>
    <sheetView workbookViewId="0">
      <pane xSplit="4" ySplit="7" topLeftCell="E8" activePane="bottomRight" state="frozen"/>
      <selection pane="topRight" activeCell="E1" sqref="E1"/>
      <selection pane="bottomLeft" activeCell="A8" sqref="A8"/>
      <selection pane="bottomRight" activeCell="E8" sqref="E8"/>
    </sheetView>
  </sheetViews>
  <sheetFormatPr defaultColWidth="9" defaultRowHeight="16.5" outlineLevelCol="1" x14ac:dyDescent="0.3"/>
  <cols>
    <col min="1" max="1" width="50.85546875" bestFit="1" customWidth="1"/>
    <col min="2" max="3" width="5.42578125" customWidth="1"/>
    <col min="4" max="4" width="19.5703125" bestFit="1" customWidth="1"/>
    <col min="5" max="15" width="10.5703125" customWidth="1"/>
    <col min="20" max="20" width="22" hidden="1" customWidth="1" outlineLevel="1"/>
    <col min="21" max="21" width="13.85546875" hidden="1" customWidth="1" outlineLevel="1"/>
    <col min="22" max="22" width="54" hidden="1" customWidth="1" outlineLevel="1"/>
    <col min="23" max="23" width="9" collapsed="1"/>
  </cols>
  <sheetData>
    <row r="1" spans="1:22" s="3" customFormat="1" ht="33" x14ac:dyDescent="0.3">
      <c r="A1" s="62" t="str">
        <f>'API - BASE'!ALLFINSTAT_RWIdentifier</f>
        <v>HCI</v>
      </c>
      <c r="D1" s="2"/>
      <c r="E1" s="4">
        <v>1</v>
      </c>
      <c r="F1" s="5">
        <v>1</v>
      </c>
      <c r="G1" s="4">
        <v>2</v>
      </c>
      <c r="H1" s="74" t="str">
        <f>'API - BASE'!E1</f>
        <v>LOCAL</v>
      </c>
      <c r="I1" s="6" t="s">
        <v>38</v>
      </c>
      <c r="J1" s="9" t="s">
        <v>332</v>
      </c>
      <c r="K1" s="6"/>
      <c r="L1" s="6"/>
      <c r="M1" s="7"/>
      <c r="N1" s="6"/>
      <c r="O1" s="6"/>
      <c r="P1" s="6"/>
      <c r="Q1" s="6"/>
      <c r="R1" s="6"/>
      <c r="S1" s="6"/>
      <c r="T1" s="8" t="s">
        <v>333</v>
      </c>
      <c r="V1" s="10" t="s">
        <v>26</v>
      </c>
    </row>
    <row r="2" spans="1:22" s="12" customFormat="1" ht="27" customHeight="1" x14ac:dyDescent="0.3">
      <c r="A2" s="53"/>
      <c r="D2" s="11"/>
      <c r="E2" s="13">
        <f>CHOOSE(E1,C6,D6)</f>
        <v>0</v>
      </c>
      <c r="F2" s="14" t="str">
        <f>CHOOSE(F1,U3,V3)</f>
        <v>Includes restatements</v>
      </c>
      <c r="G2" s="13" t="str">
        <f>CHOOSE(G1,U2,V2)</f>
        <v>Median</v>
      </c>
      <c r="H2" s="13" t="s">
        <v>17</v>
      </c>
      <c r="I2" s="69" t="s">
        <v>28</v>
      </c>
      <c r="J2" s="69" t="s">
        <v>400</v>
      </c>
      <c r="K2" s="65"/>
      <c r="L2" s="65"/>
      <c r="M2" s="70" t="s">
        <v>30</v>
      </c>
      <c r="T2" s="16"/>
      <c r="U2" s="17" t="s">
        <v>31</v>
      </c>
      <c r="V2" s="17" t="s">
        <v>32</v>
      </c>
    </row>
    <row r="3" spans="1:22" s="3" customFormat="1" x14ac:dyDescent="0.3">
      <c r="A3" s="18" t="s">
        <v>401</v>
      </c>
      <c r="B3" s="19"/>
      <c r="C3" s="19"/>
      <c r="D3" s="19"/>
      <c r="E3" s="20"/>
      <c r="F3" s="6"/>
      <c r="G3" s="21"/>
      <c r="H3" s="6"/>
      <c r="I3" s="6"/>
      <c r="J3" s="9"/>
      <c r="L3" s="6"/>
      <c r="M3" s="6"/>
      <c r="N3" s="6"/>
      <c r="O3" s="6"/>
      <c r="P3" s="6"/>
      <c r="Q3" s="6"/>
      <c r="R3" s="6"/>
      <c r="S3" s="6"/>
      <c r="T3" s="22"/>
      <c r="U3" s="23" t="s">
        <v>10</v>
      </c>
      <c r="V3" s="23" t="s">
        <v>11</v>
      </c>
    </row>
    <row r="4" spans="1:22" s="3" customFormat="1" x14ac:dyDescent="0.3">
      <c r="A4" s="24" t="str">
        <f>"Financial Statements Summary - "&amp; _xll.FDSC("-",ALLFINSTAT_RWIdentifier,"FG_COMPANY_NAME")&amp;" ("&amp;UPPER(ALLFINSTAT_RWIdentifier)&amp;")"</f>
        <v>Financial Statements Summary - HCI Group, Inc. (HCI)</v>
      </c>
      <c r="B4" s="25"/>
      <c r="C4" s="25"/>
      <c r="D4" s="25"/>
      <c r="E4" s="19"/>
      <c r="F4" s="19"/>
      <c r="G4" s="19"/>
      <c r="H4" s="19"/>
      <c r="I4" s="6"/>
      <c r="J4" s="6"/>
      <c r="M4" s="6"/>
      <c r="N4" s="6"/>
      <c r="O4" s="6"/>
      <c r="P4" s="6"/>
      <c r="Q4" s="6"/>
      <c r="R4" s="6"/>
      <c r="S4" s="6"/>
      <c r="T4" s="22"/>
      <c r="U4" s="23" t="s">
        <v>40</v>
      </c>
      <c r="V4" s="23" t="s">
        <v>41</v>
      </c>
    </row>
    <row r="5" spans="1:22" s="29" customFormat="1" x14ac:dyDescent="0.3">
      <c r="A5" s="26"/>
      <c r="B5" s="26"/>
      <c r="C5" s="26"/>
      <c r="D5" s="26"/>
      <c r="E5" s="27"/>
      <c r="F5" s="27"/>
      <c r="G5" s="27"/>
      <c r="H5" s="27"/>
      <c r="I5" s="27"/>
      <c r="J5" s="27"/>
      <c r="K5" s="27"/>
      <c r="L5" s="27"/>
      <c r="M5" s="27"/>
      <c r="N5" s="27"/>
      <c r="O5" s="27"/>
      <c r="P5" s="27"/>
      <c r="Q5" s="27"/>
      <c r="R5" s="27"/>
      <c r="S5" s="27"/>
      <c r="T5" s="28"/>
    </row>
    <row r="6" spans="1:22" s="3" customFormat="1" x14ac:dyDescent="0.3">
      <c r="A6" s="30" t="s">
        <v>42</v>
      </c>
      <c r="B6" s="31"/>
      <c r="C6" s="31"/>
      <c r="D6" s="31" t="s">
        <v>336</v>
      </c>
      <c r="E6" s="32" t="s">
        <v>43</v>
      </c>
      <c r="F6" s="32" t="s">
        <v>44</v>
      </c>
      <c r="G6" s="32" t="s">
        <v>45</v>
      </c>
      <c r="H6" s="32" t="s">
        <v>46</v>
      </c>
      <c r="I6" s="32" t="s">
        <v>47</v>
      </c>
      <c r="J6" s="32" t="s">
        <v>48</v>
      </c>
      <c r="K6" s="32" t="s">
        <v>49</v>
      </c>
      <c r="L6" s="32" t="s">
        <v>50</v>
      </c>
      <c r="M6" s="32" t="s">
        <v>51</v>
      </c>
      <c r="N6" s="32" t="s">
        <v>52</v>
      </c>
      <c r="O6" s="32" t="s">
        <v>53</v>
      </c>
      <c r="P6" s="32"/>
      <c r="Q6" s="32"/>
      <c r="R6" s="32"/>
      <c r="S6" s="32"/>
      <c r="T6" s="33"/>
    </row>
    <row r="7" spans="1:22" s="3" customFormat="1" x14ac:dyDescent="0.3">
      <c r="A7" s="3" t="s">
        <v>61</v>
      </c>
      <c r="E7" s="64" t="str" cm="1">
        <f t="array" ref="E7">_xll.FDSRC("-",$A$1,"CONVERT_DATE(FF_FISCAL_DATE(ANN_R,"&amp;E$6&amp;","&amp;E$6&amp;",,,"""",""DATEJ""),""MM/YYYY"")")</f>
        <v>12/2012</v>
      </c>
      <c r="F7" s="64" t="str" cm="1">
        <f t="array" ref="F7">_xll.FDSRC("-",$A$1,"CONVERT_DATE(FF_FISCAL_DATE(ANN_R,"&amp;F$6&amp;","&amp;F$6&amp;",,,"""",""DATEJ""),""MM/YYYY"")")</f>
        <v>12/2013</v>
      </c>
      <c r="G7" s="64" t="str" cm="1">
        <f t="array" ref="G7">_xll.FDSRC("-",$A$1,"CONVERT_DATE(FF_FISCAL_DATE(ANN_R,"&amp;G$6&amp;","&amp;G$6&amp;",,,"""",""DATEJ""),""MM/YYYY"")")</f>
        <v>12/2014</v>
      </c>
      <c r="H7" s="64" t="str" cm="1">
        <f t="array" ref="H7">_xll.FDSRC("-",$A$1,"CONVERT_DATE(FF_FISCAL_DATE(ANN_R,"&amp;H$6&amp;","&amp;H$6&amp;",,,"""",""DATEJ""),""MM/YYYY"")")</f>
        <v>12/2015</v>
      </c>
      <c r="I7" s="64" t="str" cm="1">
        <f t="array" ref="I7">_xll.FDSRC("-",$A$1,"CONVERT_DATE(FF_FISCAL_DATE(ANN_R,"&amp;I$6&amp;","&amp;I$6&amp;",,,"""",""DATEJ""),""MM/YYYY"")")</f>
        <v>12/2016</v>
      </c>
      <c r="J7" s="64" t="str" cm="1">
        <f t="array" ref="J7">_xll.FDSRC("-",$A$1,"CONVERT_DATE(FF_FISCAL_DATE(ANN_R,"&amp;J$6&amp;","&amp;J$6&amp;",,,"""",""DATEJ""),""MM/YYYY"")")</f>
        <v>12/2017</v>
      </c>
      <c r="K7" s="64" t="str" cm="1">
        <f t="array" ref="K7">_xll.FDSRC("-",$A$1,"CONVERT_DATE(FF_FISCAL_DATE(ANN_R,"&amp;K$6&amp;","&amp;K$6&amp;",,,"""",""DATEJ""),""MM/YYYY"")")</f>
        <v>12/2018</v>
      </c>
      <c r="L7" s="64" t="str" cm="1">
        <f t="array" ref="L7">_xll.FDSRC("-",$A$1,"CONVERT_DATE(FF_FISCAL_DATE(ANN_R,"&amp;L$6&amp;","&amp;L$6&amp;",,,"""",""DATEJ""),""MM/YYYY"")")</f>
        <v>12/2019</v>
      </c>
      <c r="M7" s="64" t="str" cm="1">
        <f t="array" ref="M7">_xll.FDSRC("-",$A$1,"CONVERT_DATE(FF_FISCAL_DATE(ANN_R,"&amp;M$6&amp;","&amp;M$6&amp;",,,"""",""DATEJ""),""MM/YYYY"")")</f>
        <v>12/2020</v>
      </c>
      <c r="N7" s="64" t="str" cm="1">
        <f t="array" ref="N7">_xll.FDSRC("-",$A$1,"CONVERT_DATE(FF_FISCAL_DATE(ANN_R,"&amp;N$6&amp;","&amp;N$6&amp;",,,"""",""DATEJ""),""MM/YYYY"")")</f>
        <v>12/2021</v>
      </c>
      <c r="O7" s="64" t="str" cm="1">
        <f t="array" ref="O7">_xll.FDSRC("-",$A$1,"CONVERT_DATE(FF_FISCAL_DATE(ANN_R,"&amp;O$6&amp;","&amp;O$6&amp;",,,"""",""DATEJ""),""MM/YYYY"")")</f>
        <v>12/2022</v>
      </c>
      <c r="P7" s="34"/>
      <c r="Q7" s="34"/>
      <c r="R7" s="34"/>
      <c r="S7" s="34"/>
      <c r="T7" s="35"/>
    </row>
    <row r="9" spans="1:22" x14ac:dyDescent="0.3">
      <c r="A9" s="58" t="s">
        <v>402</v>
      </c>
      <c r="E9" s="57"/>
      <c r="F9" s="57"/>
      <c r="G9" s="57"/>
      <c r="H9" s="57"/>
      <c r="I9" s="57"/>
      <c r="J9" s="57"/>
      <c r="K9" s="57"/>
      <c r="L9" s="57"/>
      <c r="M9" s="57"/>
      <c r="N9" s="57"/>
      <c r="O9" s="57"/>
    </row>
    <row r="10" spans="1:22" x14ac:dyDescent="0.3">
      <c r="A10" s="36" t="s">
        <v>338</v>
      </c>
      <c r="E10" s="57"/>
      <c r="F10" s="57"/>
      <c r="G10" s="57"/>
      <c r="H10" s="57"/>
      <c r="I10" s="57"/>
      <c r="J10" s="57"/>
      <c r="K10" s="57"/>
      <c r="L10" s="57"/>
      <c r="M10" s="57"/>
      <c r="N10" s="57"/>
      <c r="O10" s="57"/>
    </row>
    <row r="11" spans="1:22" x14ac:dyDescent="0.3">
      <c r="A11" s="3" t="s">
        <v>339</v>
      </c>
      <c r="D11" s="3" t="s">
        <v>92</v>
      </c>
      <c r="E11" s="56" cm="1">
        <f t="array" ref="E11">_xll.FDSRC("-",$A$1,"FE_TIMESERIES("&amp;$D11&amp;",MEAN,"&amp;E$6&amp;","&amp;E$6&amp;",FY,'BKRACTMED=1,WIN=0,CURRENCY=USD,UNITS=AUTO,DATE=NOW')")</f>
        <v>233.607</v>
      </c>
      <c r="F11" s="56" cm="1">
        <f t="array" ref="F11">_xll.FDSRC("-",$A$1,"FE_TIMESERIES("&amp;$D11&amp;",MEAN,"&amp;F$6&amp;","&amp;F$6&amp;",FY,'BKRACTMED=1,WIN=0,CURRENCY=USD,UNITS=AUTO,DATE=NOW')")</f>
        <v>241.08799999999999</v>
      </c>
      <c r="G11" s="56" cm="1">
        <f t="array" ref="G11">_xll.FDSRC("-",$A$1,"FE_TIMESERIES("&amp;$D11&amp;",MEAN,"&amp;G$6&amp;","&amp;G$6&amp;",FY,'BKRACTMED=1,WIN=0,CURRENCY=USD,UNITS=AUTO,DATE=NOW')")</f>
        <v>266.108</v>
      </c>
      <c r="H11" s="56" cm="1">
        <f t="array" ref="H11">_xll.FDSRC("-",$A$1,"FE_TIMESERIES("&amp;$D11&amp;",MEAN,"&amp;H$6&amp;","&amp;H$6&amp;",FY,'BKRACTMED=1,WIN=0,CURRENCY=USD,UNITS=AUTO,DATE=NOW')")</f>
        <v>285.952</v>
      </c>
      <c r="I11" s="56" cm="1">
        <f t="array" ref="I11">_xll.FDSRC("-",$A$1,"FE_TIMESERIES("&amp;$D11&amp;",MEAN,"&amp;I$6&amp;","&amp;I$6&amp;",FY,'BKRACTMED=1,WIN=0,CURRENCY=USD,UNITS=AUTO,DATE=NOW')")</f>
        <v>264.44600000000003</v>
      </c>
      <c r="J11" s="56" cm="1">
        <f t="array" ref="J11">_xll.FDSRC("-",$A$1,"FE_TIMESERIES("&amp;$D11&amp;",MEAN,"&amp;J$6&amp;","&amp;J$6&amp;",FY,'BKRACTMED=1,WIN=0,CURRENCY=USD,UNITS=AUTO,DATE=NOW')")</f>
        <v>244.40600000000001</v>
      </c>
      <c r="K11" s="56" cm="1">
        <f t="array" ref="K11">_xll.FDSRC("-",$A$1,"FE_TIMESERIES("&amp;$D11&amp;",MEAN,"&amp;K$6&amp;","&amp;K$6&amp;",FY,'BKRACTMED=1,WIN=0,CURRENCY=USD,UNITS=AUTO,DATE=NOW')")</f>
        <v>231.292</v>
      </c>
      <c r="L11" s="56" cm="1">
        <f t="array" ref="L11">_xll.FDSRC("-",$A$1,"FE_TIMESERIES("&amp;$D11&amp;",MEAN,"&amp;L$6&amp;","&amp;L$6&amp;",FY,'BKRACTMED=1,WIN=0,CURRENCY=USD,UNITS=AUTO,DATE=NOW')")</f>
        <v>242.47399999999999</v>
      </c>
      <c r="M11" s="56" cm="1">
        <f t="array" ref="M11">_xll.FDSRC("-",$A$1,"FE_TIMESERIES("&amp;$D11&amp;",MEAN,"&amp;M$6&amp;","&amp;M$6&amp;",FY,'BKRACTMED=1,WIN=0,CURRENCY=USD,UNITS=AUTO,DATE=NOW')")</f>
        <v>310.43700000000001</v>
      </c>
      <c r="N11" s="56" cm="1">
        <f t="array" ref="N11">_xll.FDSRC("-",$A$1,"FE_TIMESERIES("&amp;$D11&amp;",MEAN,"&amp;N$6&amp;","&amp;N$6&amp;",FY,'BKRACTMED=1,WIN=0,CURRENCY=USD,UNITS=AUTO,DATE=NOW')")</f>
        <v>407.91500000000002</v>
      </c>
      <c r="O11" s="56" cm="1">
        <f t="array" ref="O11">_xll.FDSRC("-",$A$1,"FE_TIMESERIES("&amp;$D11&amp;",MEAN,"&amp;O$6&amp;","&amp;O$6&amp;",FY,'BKRACTMED=1,WIN=0,CURRENCY=USD,UNITS=AUTO,DATE=NOW')")</f>
        <v>499.56299999999999</v>
      </c>
    </row>
    <row r="12" spans="1:22" x14ac:dyDescent="0.3">
      <c r="A12" s="3" t="s">
        <v>341</v>
      </c>
      <c r="E12" s="57"/>
      <c r="F12" s="57"/>
      <c r="G12" s="57"/>
      <c r="H12" s="57"/>
      <c r="I12" s="57"/>
      <c r="J12" s="57"/>
      <c r="K12" s="57"/>
      <c r="L12" s="57"/>
      <c r="M12" s="57"/>
      <c r="N12" s="57"/>
      <c r="O12" s="57"/>
    </row>
    <row r="13" spans="1:22" x14ac:dyDescent="0.3">
      <c r="A13" s="3" t="s">
        <v>343</v>
      </c>
      <c r="D13" t="s">
        <v>403</v>
      </c>
      <c r="E13" s="56" t="str" cm="1">
        <f t="array" ref="E13">_xll.FDSRC("-",$A$1,"FE_TIMESERIES("&amp;$D13&amp;",MEAN,"&amp;E$6&amp;","&amp;E$6&amp;",FY,'BKRACTMED=1,WIN=0,CURRENCY=USD,UNITS=AUTO,DATE=NOW')")</f>
        <v>-</v>
      </c>
      <c r="F13" s="56" t="str" cm="1">
        <f t="array" ref="F13">_xll.FDSRC("-",$A$1,"FE_TIMESERIES("&amp;$D13&amp;",MEAN,"&amp;F$6&amp;","&amp;F$6&amp;",FY,'BKRACTMED=1,WIN=0,CURRENCY=USD,UNITS=AUTO,DATE=NOW')")</f>
        <v>-</v>
      </c>
      <c r="G13" s="56" t="str" cm="1">
        <f t="array" ref="G13">_xll.FDSRC("-",$A$1,"FE_TIMESERIES("&amp;$D13&amp;",MEAN,"&amp;G$6&amp;","&amp;G$6&amp;",FY,'BKRACTMED=1,WIN=0,CURRENCY=USD,UNITS=AUTO,DATE=NOW')")</f>
        <v>-</v>
      </c>
      <c r="H13" s="56" t="str" cm="1">
        <f t="array" ref="H13">_xll.FDSRC("-",$A$1,"FE_TIMESERIES("&amp;$D13&amp;",MEAN,"&amp;H$6&amp;","&amp;H$6&amp;",FY,'BKRACTMED=1,WIN=0,CURRENCY=USD,UNITS=AUTO,DATE=NOW')")</f>
        <v>-</v>
      </c>
      <c r="I13" s="56" t="str" cm="1">
        <f t="array" ref="I13">_xll.FDSRC("-",$A$1,"FE_TIMESERIES("&amp;$D13&amp;",MEAN,"&amp;I$6&amp;","&amp;I$6&amp;",FY,'BKRACTMED=1,WIN=0,CURRENCY=USD,UNITS=AUTO,DATE=NOW')")</f>
        <v>-</v>
      </c>
      <c r="J13" s="56" t="str" cm="1">
        <f t="array" ref="J13">_xll.FDSRC("-",$A$1,"FE_TIMESERIES("&amp;$D13&amp;",MEAN,"&amp;J$6&amp;","&amp;J$6&amp;",FY,'BKRACTMED=1,WIN=0,CURRENCY=USD,UNITS=AUTO,DATE=NOW')")</f>
        <v>-</v>
      </c>
      <c r="K13" s="56" t="str" cm="1">
        <f t="array" ref="K13">_xll.FDSRC("-",$A$1,"FE_TIMESERIES("&amp;$D13&amp;",MEAN,"&amp;K$6&amp;","&amp;K$6&amp;",FY,'BKRACTMED=1,WIN=0,CURRENCY=USD,UNITS=AUTO,DATE=NOW')")</f>
        <v>-</v>
      </c>
      <c r="L13" s="56" t="str" cm="1">
        <f t="array" ref="L13">_xll.FDSRC("-",$A$1,"FE_TIMESERIES("&amp;$D13&amp;",MEAN,"&amp;L$6&amp;","&amp;L$6&amp;",FY,'BKRACTMED=1,WIN=0,CURRENCY=USD,UNITS=AUTO,DATE=NOW')")</f>
        <v>-</v>
      </c>
      <c r="M13" s="56" t="str" cm="1">
        <f t="array" ref="M13">_xll.FDSRC("-",$A$1,"FE_TIMESERIES("&amp;$D13&amp;",MEAN,"&amp;M$6&amp;","&amp;M$6&amp;",FY,'BKRACTMED=1,WIN=0,CURRENCY=USD,UNITS=AUTO,DATE=NOW')")</f>
        <v>-</v>
      </c>
      <c r="N13" s="56" t="str" cm="1">
        <f t="array" ref="N13">_xll.FDSRC("-",$A$1,"FE_TIMESERIES("&amp;$D13&amp;",MEAN,"&amp;N$6&amp;","&amp;N$6&amp;",FY,'BKRACTMED=1,WIN=0,CURRENCY=USD,UNITS=AUTO,DATE=NOW')")</f>
        <v>-</v>
      </c>
      <c r="O13" s="56" t="str" cm="1">
        <f t="array" ref="O13">_xll.FDSRC("-",$A$1,"FE_TIMESERIES("&amp;$D13&amp;",MEAN,"&amp;O$6&amp;","&amp;O$6&amp;",FY,'BKRACTMED=1,WIN=0,CURRENCY=USD,UNITS=AUTO,DATE=NOW')")</f>
        <v>-</v>
      </c>
    </row>
    <row r="14" spans="1:22" x14ac:dyDescent="0.3">
      <c r="A14" s="3" t="s">
        <v>345</v>
      </c>
    </row>
    <row r="15" spans="1:22" x14ac:dyDescent="0.3">
      <c r="A15" s="3" t="s">
        <v>109</v>
      </c>
      <c r="D15" s="37" t="s">
        <v>110</v>
      </c>
      <c r="E15" s="56" t="str" cm="1">
        <f t="array" ref="E15">_xll.FDSRC("-",$A$1,"FE_TIMESERIES("&amp;$D15&amp;",MEAN,"&amp;E$6&amp;","&amp;E$6&amp;",FY,'BKRACTMED=1,WIN=0,CURRENCY=USD,UNITS=AUTO,DATE=NOW')")</f>
        <v>-</v>
      </c>
      <c r="F15" s="56" t="str" cm="1">
        <f t="array" ref="F15">_xll.FDSRC("-",$A$1,"FE_TIMESERIES("&amp;$D15&amp;",MEAN,"&amp;F$6&amp;","&amp;F$6&amp;",FY,'BKRACTMED=1,WIN=0,CURRENCY=USD,UNITS=AUTO,DATE=NOW')")</f>
        <v>-</v>
      </c>
      <c r="G15" s="56" cm="1">
        <f t="array" ref="G15">_xll.FDSRC("-",$A$1,"FE_TIMESERIES("&amp;$D15&amp;",MEAN,"&amp;G$6&amp;","&amp;G$6&amp;",FY,'BKRACTMED=1,WIN=0,CURRENCY=USD,UNITS=AUTO,DATE=NOW')")</f>
        <v>59.6</v>
      </c>
      <c r="H15" s="56" cm="1">
        <f t="array" ref="H15">_xll.FDSRC("-",$A$1,"FE_TIMESERIES("&amp;$D15&amp;",MEAN,"&amp;H$6&amp;","&amp;H$6&amp;",FY,'BKRACTMED=1,WIN=0,CURRENCY=USD,UNITS=AUTO,DATE=NOW')")</f>
        <v>69.3</v>
      </c>
      <c r="I15" s="56" cm="1">
        <f t="array" ref="I15">_xll.FDSRC("-",$A$1,"FE_TIMESERIES("&amp;$D15&amp;",MEAN,"&amp;I$6&amp;","&amp;I$6&amp;",FY,'BKRACTMED=1,WIN=0,CURRENCY=USD,UNITS=AUTO,DATE=NOW')")</f>
        <v>25.3</v>
      </c>
      <c r="J15" s="56" cm="1">
        <f t="array" ref="J15">_xll.FDSRC("-",$A$1,"FE_TIMESERIES("&amp;$D15&amp;",MEAN,"&amp;J$6&amp;","&amp;J$6&amp;",FY,'BKRACTMED=1,WIN=0,CURRENCY=USD,UNITS=AUTO,DATE=NOW')")</f>
        <v>-3.7</v>
      </c>
      <c r="K15" s="56" cm="1">
        <f t="array" ref="K15">_xll.FDSRC("-",$A$1,"FE_TIMESERIES("&amp;$D15&amp;",MEAN,"&amp;K$6&amp;","&amp;K$6&amp;",FY,'BKRACTMED=1,WIN=0,CURRENCY=USD,UNITS=AUTO,DATE=NOW')")</f>
        <v>33.6</v>
      </c>
      <c r="L15" s="56" cm="1">
        <f t="array" ref="L15">_xll.FDSRC("-",$A$1,"FE_TIMESERIES("&amp;$D15&amp;",MEAN,"&amp;L$6&amp;","&amp;L$6&amp;",FY,'BKRACTMED=1,WIN=0,CURRENCY=USD,UNITS=AUTO,DATE=NOW')")</f>
        <v>21.8</v>
      </c>
      <c r="M15" s="56" cm="1">
        <f t="array" ref="M15">_xll.FDSRC("-",$A$1,"FE_TIMESERIES("&amp;$D15&amp;",MEAN,"&amp;M$6&amp;","&amp;M$6&amp;",FY,'BKRACTMED=1,WIN=0,CURRENCY=USD,UNITS=AUTO,DATE=NOW')")</f>
        <v>28.6</v>
      </c>
      <c r="N15" s="56" cm="1">
        <f t="array" ref="N15">_xll.FDSRC("-",$A$1,"FE_TIMESERIES("&amp;$D15&amp;",MEAN,"&amp;N$6&amp;","&amp;N$6&amp;",FY,'BKRACTMED=1,WIN=0,CURRENCY=USD,UNITS=AUTO,DATE=NOW')")</f>
        <v>2.4</v>
      </c>
      <c r="O15" s="56" cm="1">
        <f t="array" ref="O15">_xll.FDSRC("-",$A$1,"FE_TIMESERIES("&amp;$D15&amp;",MEAN,"&amp;O$6&amp;","&amp;O$6&amp;",FY,'BKRACTMED=1,WIN=0,CURRENCY=USD,UNITS=AUTO,DATE=NOW')")</f>
        <v>-52.5</v>
      </c>
    </row>
    <row r="16" spans="1:22" x14ac:dyDescent="0.3">
      <c r="A16" s="3" t="s">
        <v>347</v>
      </c>
      <c r="D16" t="s">
        <v>404</v>
      </c>
      <c r="E16" s="56" t="str" cm="1">
        <f t="array" ref="E16">_xll.FDSRC("-",$A$1,"FE_TIMESERIES("&amp;$D16&amp;",MEAN,"&amp;E$6&amp;","&amp;E$6&amp;",FY,'BKRACTMED=1,WIN=0,CURRENCY=USD,UNITS=AUTO,DATE=NOW')")</f>
        <v>-</v>
      </c>
      <c r="F16" s="56" cm="1">
        <f t="array" ref="F16">_xll.FDSRC("-",$A$1,"FE_TIMESERIES("&amp;$D16&amp;",MEAN,"&amp;F$6&amp;","&amp;F$6&amp;",FY,'BKRACTMED=1,WIN=0,CURRENCY=USD,UNITS=AUTO,DATE=NOW')")</f>
        <v>3.6034999999999999</v>
      </c>
      <c r="G16" s="56" cm="1">
        <f t="array" ref="G16">_xll.FDSRC("-",$A$1,"FE_TIMESERIES("&amp;$D16&amp;",MEAN,"&amp;G$6&amp;","&amp;G$6&amp;",FY,'BKRACTMED=1,WIN=0,CURRENCY=USD,UNITS=AUTO,DATE=NOW')")</f>
        <v>10.452999999999999</v>
      </c>
      <c r="H16" s="56" cm="1">
        <f t="array" ref="H16">_xll.FDSRC("-",$A$1,"FE_TIMESERIES("&amp;$D16&amp;",MEAN,"&amp;H$6&amp;","&amp;H$6&amp;",FY,'BKRACTMED=1,WIN=0,CURRENCY=USD,UNITS=AUTO,DATE=NOW')")</f>
        <v>10.754</v>
      </c>
      <c r="I16" s="56" cm="1">
        <f t="array" ref="I16">_xll.FDSRC("-",$A$1,"FE_TIMESERIES("&amp;$D16&amp;",MEAN,"&amp;I$6&amp;","&amp;I$6&amp;",FY,'BKRACTMED=1,WIN=0,CURRENCY=USD,UNITS=AUTO,DATE=NOW')")</f>
        <v>11.079000000000001</v>
      </c>
      <c r="J16" s="56" cm="1">
        <f t="array" ref="J16">_xll.FDSRC("-",$A$1,"FE_TIMESERIES("&amp;$D16&amp;",MEAN,"&amp;J$6&amp;","&amp;J$6&amp;",FY,'BKRACTMED=1,WIN=0,CURRENCY=USD,UNITS=AUTO,DATE=NOW')")</f>
        <v>16.766999999999999</v>
      </c>
      <c r="K16" s="56" cm="1">
        <f t="array" ref="K16">_xll.FDSRC("-",$A$1,"FE_TIMESERIES("&amp;$D16&amp;",MEAN,"&amp;K$6&amp;","&amp;K$6&amp;",FY,'BKRACTMED=1,WIN=0,CURRENCY=USD,UNITS=AUTO,DATE=NOW')")</f>
        <v>17.436499999999999</v>
      </c>
      <c r="L16" s="56" cm="1">
        <f t="array" ref="L16">_xll.FDSRC("-",$A$1,"FE_TIMESERIES("&amp;$D16&amp;",MEAN,"&amp;L$6&amp;","&amp;L$6&amp;",FY,'BKRACTMED=1,WIN=0,CURRENCY=USD,UNITS=AUTO,DATE=NOW')")</f>
        <v>13.055</v>
      </c>
      <c r="M16" s="56" cm="1">
        <f t="array" ref="M16">_xll.FDSRC("-",$A$1,"FE_TIMESERIES("&amp;$D16&amp;",MEAN,"&amp;M$6&amp;","&amp;M$6&amp;",FY,'BKRACTMED=1,WIN=0,CURRENCY=USD,UNITS=AUTO,DATE=NOW')")</f>
        <v>11.734</v>
      </c>
      <c r="N16" s="56" cm="1">
        <f t="array" ref="N16">_xll.FDSRC("-",$A$1,"FE_TIMESERIES("&amp;$D16&amp;",MEAN,"&amp;N$6&amp;","&amp;N$6&amp;",FY,'BKRACTMED=1,WIN=0,CURRENCY=USD,UNITS=AUTO,DATE=NOW')")</f>
        <v>6.4</v>
      </c>
      <c r="O16" s="56" cm="1">
        <f t="array" ref="O16">_xll.FDSRC("-",$A$1,"FE_TIMESERIES("&amp;$D16&amp;",MEAN,"&amp;O$6&amp;","&amp;O$6&amp;",FY,'BKRACTMED=1,WIN=0,CURRENCY=USD,UNITS=AUTO,DATE=NOW')")</f>
        <v>7.7679999999999998</v>
      </c>
    </row>
    <row r="17" spans="1:15" x14ac:dyDescent="0.3">
      <c r="A17" s="41" t="s">
        <v>117</v>
      </c>
      <c r="E17" s="56" t="s">
        <v>262</v>
      </c>
      <c r="F17" s="56" t="s">
        <v>262</v>
      </c>
      <c r="G17" s="56" t="s">
        <v>262</v>
      </c>
      <c r="H17" s="56" t="s">
        <v>262</v>
      </c>
      <c r="I17" s="56" t="s">
        <v>262</v>
      </c>
      <c r="J17" s="56" t="s">
        <v>262</v>
      </c>
      <c r="K17" s="56" t="s">
        <v>262</v>
      </c>
      <c r="L17" s="56" t="s">
        <v>262</v>
      </c>
      <c r="M17" s="56" t="s">
        <v>262</v>
      </c>
      <c r="N17" s="56" t="s">
        <v>262</v>
      </c>
      <c r="O17" s="56" t="s">
        <v>262</v>
      </c>
    </row>
    <row r="18" spans="1:15" x14ac:dyDescent="0.3">
      <c r="A18" s="3" t="s">
        <v>118</v>
      </c>
      <c r="E18" s="56" t="s">
        <v>262</v>
      </c>
      <c r="F18" s="56" t="s">
        <v>262</v>
      </c>
      <c r="G18" s="56" t="s">
        <v>262</v>
      </c>
      <c r="H18" s="56" t="s">
        <v>262</v>
      </c>
      <c r="I18" s="56" t="s">
        <v>262</v>
      </c>
      <c r="J18" s="56" t="s">
        <v>262</v>
      </c>
      <c r="K18" s="56" t="s">
        <v>262</v>
      </c>
      <c r="L18" s="56" t="s">
        <v>262</v>
      </c>
      <c r="M18" s="56" t="s">
        <v>262</v>
      </c>
      <c r="N18" s="56" t="s">
        <v>262</v>
      </c>
      <c r="O18" s="56" t="s">
        <v>262</v>
      </c>
    </row>
    <row r="19" spans="1:15" x14ac:dyDescent="0.3">
      <c r="A19" s="3" t="s">
        <v>120</v>
      </c>
      <c r="D19" t="s">
        <v>405</v>
      </c>
      <c r="E19" s="56" cm="1">
        <f t="array" ref="E19">_xll.FDSRC("-",$A$1,"FE_TIMESERIES("&amp;$D19&amp;",MEAN,"&amp;E$6&amp;","&amp;E$6&amp;",FY,'BKRACTMED=1,WIN=0,CURRENCY=USD,UNITS=AUTO,DATE=NOW')")</f>
        <v>49.58</v>
      </c>
      <c r="F19" s="56" cm="1">
        <f t="array" ref="F19">_xll.FDSRC("-",$A$1,"FE_TIMESERIES("&amp;$D19&amp;",MEAN,"&amp;F$6&amp;","&amp;F$6&amp;",FY,'BKRACTMED=1,WIN=0,CURRENCY=USD,UNITS=AUTO,DATE=NOW')")</f>
        <v>106.4765</v>
      </c>
      <c r="G19" s="56" cm="1">
        <f t="array" ref="G19">_xll.FDSRC("-",$A$1,"FE_TIMESERIES("&amp;$D19&amp;",MEAN,"&amp;G$6&amp;","&amp;G$6&amp;",FY,'BKRACTMED=1,WIN=0,CURRENCY=USD,UNITS=AUTO,DATE=NOW')")</f>
        <v>100.962</v>
      </c>
      <c r="H19" s="56" cm="1">
        <f t="array" ref="H19">_xll.FDSRC("-",$A$1,"FE_TIMESERIES("&amp;$D19&amp;",MEAN,"&amp;H$6&amp;","&amp;H$6&amp;",FY,'BKRACTMED=1,WIN=0,CURRENCY=USD,UNITS=AUTO,DATE=NOW')")</f>
        <v>106.19199999999999</v>
      </c>
      <c r="I19" s="56" cm="1">
        <f t="array" ref="I19">_xll.FDSRC("-",$A$1,"FE_TIMESERIES("&amp;$D19&amp;",MEAN,"&amp;I$6&amp;","&amp;I$6&amp;",FY,'BKRACTMED=1,WIN=0,CURRENCY=USD,UNITS=AUTO,DATE=NOW')")</f>
        <v>46.856000000000002</v>
      </c>
      <c r="J19" s="56" cm="1">
        <f t="array" ref="J19">_xll.FDSRC("-",$A$1,"FE_TIMESERIES("&amp;$D19&amp;",MEAN,"&amp;J$6&amp;","&amp;J$6&amp;",FY,'BKRACTMED=1,WIN=0,CURRENCY=USD,UNITS=AUTO,DATE=NOW')")</f>
        <v>-15.624000000000001</v>
      </c>
      <c r="K19" s="56" cm="1">
        <f t="array" ref="K19">_xll.FDSRC("-",$A$1,"FE_TIMESERIES("&amp;$D19&amp;",MEAN,"&amp;K$6&amp;","&amp;K$6&amp;",FY,'BKRACTMED=1,WIN=0,CURRENCY=USD,UNITS=AUTO,DATE=NOW')")</f>
        <v>29.154</v>
      </c>
      <c r="L19" s="56" cm="1">
        <f t="array" ref="L19">_xll.FDSRC("-",$A$1,"FE_TIMESERIES("&amp;$D19&amp;",MEAN,"&amp;L$6&amp;","&amp;L$6&amp;",FY,'BKRACTMED=1,WIN=0,CURRENCY=USD,UNITS=AUTO,DATE=NOW')")</f>
        <v>36.093000000000004</v>
      </c>
      <c r="M19" s="56" cm="1">
        <f t="array" ref="M19">_xll.FDSRC("-",$A$1,"FE_TIMESERIES("&amp;$D19&amp;",MEAN,"&amp;M$6&amp;","&amp;M$6&amp;",FY,'BKRACTMED=1,WIN=0,CURRENCY=USD,UNITS=AUTO,DATE=NOW')")</f>
        <v>37.524000000000001</v>
      </c>
      <c r="N19" s="56" cm="1">
        <f t="array" ref="N19">_xll.FDSRC("-",$A$1,"FE_TIMESERIES("&amp;$D19&amp;",MEAN,"&amp;N$6&amp;","&amp;N$6&amp;",FY,'BKRACTMED=1,WIN=0,CURRENCY=USD,UNITS=AUTO,DATE=NOW')")</f>
        <v>10.351000000000001</v>
      </c>
      <c r="O19" s="56" cm="1">
        <f t="array" ref="O19">_xll.FDSRC("-",$A$1,"FE_TIMESERIES("&amp;$D19&amp;",MEAN,"&amp;O$6&amp;","&amp;O$6&amp;",FY,'BKRACTMED=1,WIN=0,CURRENCY=USD,UNITS=AUTO,DATE=NOW')")</f>
        <v>-64.841499999999996</v>
      </c>
    </row>
    <row r="20" spans="1:15" x14ac:dyDescent="0.3">
      <c r="A20" s="40" t="s">
        <v>122</v>
      </c>
    </row>
    <row r="21" spans="1:15" x14ac:dyDescent="0.3">
      <c r="A21" s="3" t="s">
        <v>352</v>
      </c>
      <c r="D21" t="s">
        <v>123</v>
      </c>
      <c r="E21" s="56" cm="1">
        <f t="array" ref="E21">_xll.FDSRC("-",$A$1,"FE_TIMESERIES("&amp;$D21&amp;",MEAN,"&amp;E$6&amp;","&amp;E$6&amp;",FY,'BKRACTMED=1,WIN=0,CURRENCY=USD,UNITS=AUTO,DATE=NOW')")</f>
        <v>19.422999999999998</v>
      </c>
      <c r="F21" s="56" cm="1">
        <f t="array" ref="F21">_xll.FDSRC("-",$A$1,"FE_TIMESERIES("&amp;$D21&amp;",MEAN,"&amp;F$6&amp;","&amp;F$6&amp;",FY,'BKRACTMED=1,WIN=0,CURRENCY=USD,UNITS=AUTO,DATE=NOW')")</f>
        <v>40.890999999999998</v>
      </c>
      <c r="G21" s="56" cm="1">
        <f t="array" ref="G21">_xll.FDSRC("-",$A$1,"FE_TIMESERIES("&amp;$D21&amp;",MEAN,"&amp;G$6&amp;","&amp;G$6&amp;",FY,'BKRACTMED=1,WIN=0,CURRENCY=USD,UNITS=AUTO,DATE=NOW')")</f>
        <v>38.298000000000002</v>
      </c>
      <c r="H21" s="56" cm="1">
        <f t="array" ref="H21">_xll.FDSRC("-",$A$1,"FE_TIMESERIES("&amp;$D21&amp;",MEAN,"&amp;H$6&amp;","&amp;H$6&amp;",FY,'BKRACTMED=1,WIN=0,CURRENCY=USD,UNITS=AUTO,DATE=NOW')")</f>
        <v>40.331000000000003</v>
      </c>
      <c r="I21" s="56" cm="1">
        <f t="array" ref="I21">_xll.FDSRC("-",$A$1,"FE_TIMESERIES("&amp;$D21&amp;",MEAN,"&amp;I$6&amp;","&amp;I$6&amp;",FY,'BKRACTMED=1,WIN=0,CURRENCY=USD,UNITS=AUTO,DATE=NOW')")</f>
        <v>17.835000000000001</v>
      </c>
      <c r="J21" s="56" cm="1">
        <f t="array" ref="J21">_xll.FDSRC("-",$A$1,"FE_TIMESERIES("&amp;$D21&amp;",MEAN,"&amp;J$6&amp;","&amp;J$6&amp;",FY,'BKRACTMED=1,WIN=0,CURRENCY=USD,UNITS=AUTO,DATE=NOW')")</f>
        <v>-8.0310000000000006</v>
      </c>
      <c r="K21" s="56" cm="1">
        <f t="array" ref="K21">_xll.FDSRC("-",$A$1,"FE_TIMESERIES("&amp;$D21&amp;",MEAN,"&amp;K$6&amp;","&amp;K$6&amp;",FY,'BKRACTMED=1,WIN=0,CURRENCY=USD,UNITS=AUTO,DATE=NOW')")</f>
        <v>9.1769999999999996</v>
      </c>
      <c r="L21" s="56" cm="1">
        <f t="array" ref="L21">_xll.FDSRC("-",$A$1,"FE_TIMESERIES("&amp;$D21&amp;",MEAN,"&amp;L$6&amp;","&amp;L$6&amp;",FY,'BKRACTMED=1,WIN=0,CURRENCY=USD,UNITS=AUTO,DATE=NOW')")</f>
        <v>9.5169999999999995</v>
      </c>
      <c r="M21" s="56" cm="1">
        <f t="array" ref="M21">_xll.FDSRC("-",$A$1,"FE_TIMESERIES("&amp;$D21&amp;",MEAN,"&amp;M$6&amp;","&amp;M$6&amp;",FY,'BKRACTMED=1,WIN=0,CURRENCY=USD,UNITS=AUTO,DATE=NOW')")</f>
        <v>9.3480000000000008</v>
      </c>
      <c r="N21" s="56" cm="1">
        <f t="array" ref="N21">_xll.FDSRC("-",$A$1,"FE_TIMESERIES("&amp;$D21&amp;",MEAN,"&amp;N$6&amp;","&amp;N$6&amp;",FY,'BKRACTMED=1,WIN=0,CURRENCY=USD,UNITS=AUTO,DATE=NOW')")</f>
        <v>3.9910000000000001</v>
      </c>
      <c r="O21" s="56" cm="1">
        <f t="array" ref="O21">_xll.FDSRC("-",$A$1,"FE_TIMESERIES("&amp;$D21&amp;",MEAN,"&amp;O$6&amp;","&amp;O$6&amp;",FY,'BKRACTMED=1,WIN=0,CURRENCY=USD,UNITS=AUTO,DATE=NOW')")</f>
        <v>-13.486499999999999</v>
      </c>
    </row>
    <row r="22" spans="1:15" x14ac:dyDescent="0.3">
      <c r="A22" s="42" t="s">
        <v>126</v>
      </c>
      <c r="D22" t="s">
        <v>406</v>
      </c>
      <c r="E22" s="60" cm="1">
        <f t="array" ref="E22">_xll.FDSRC("-",$A$1,"FE_TIMESERIES("&amp;$D22&amp;",MEAN,"&amp;E$6&amp;","&amp;E$6&amp;",FY,'BKRACTMED=1,WIN=0,CURRENCY=USD,UNITS=AUTO,DATE=NOW')")</f>
        <v>29.835000000000001</v>
      </c>
      <c r="F22" s="60" cm="1">
        <f t="array" ref="F22">_xll.FDSRC("-",$A$1,"FE_TIMESERIES("&amp;$D22&amp;",MEAN,"&amp;F$6&amp;","&amp;F$6&amp;",FY,'BKRACTMED=1,WIN=0,CURRENCY=USD,UNITS=AUTO,DATE=NOW')")</f>
        <v>65.457999999999998</v>
      </c>
      <c r="G22" s="60" cm="1">
        <f t="array" ref="G22">_xll.FDSRC("-",$A$1,"FE_TIMESERIES("&amp;$D22&amp;",MEAN,"&amp;G$6&amp;","&amp;G$6&amp;",FY,'BKRACTMED=1,WIN=0,CURRENCY=USD,UNITS=AUTO,DATE=NOW')")</f>
        <v>62.664000000000001</v>
      </c>
      <c r="H22" s="60" cm="1">
        <f t="array" ref="H22">_xll.FDSRC("-",$A$1,"FE_TIMESERIES("&amp;$D22&amp;",MEAN,"&amp;H$6&amp;","&amp;H$6&amp;",FY,'BKRACTMED=1,WIN=0,CURRENCY=USD,UNITS=AUTO,DATE=NOW')")</f>
        <v>65.861000000000004</v>
      </c>
      <c r="I22" s="60" cm="1">
        <f t="array" ref="I22">_xll.FDSRC("-",$A$1,"FE_TIMESERIES("&amp;$D22&amp;",MEAN,"&amp;I$6&amp;","&amp;I$6&amp;",FY,'BKRACTMED=1,WIN=0,CURRENCY=USD,UNITS=AUTO,DATE=NOW')")</f>
        <v>29.021000000000001</v>
      </c>
      <c r="J22" s="60" cm="1">
        <f t="array" ref="J22">_xll.FDSRC("-",$A$1,"FE_TIMESERIES("&amp;$D22&amp;",MEAN,"&amp;J$6&amp;","&amp;J$6&amp;",FY,'BKRACTMED=1,WIN=0,CURRENCY=USD,UNITS=AUTO,DATE=NOW')")</f>
        <v>-6.8929999999999998</v>
      </c>
      <c r="K22" s="60" cm="1">
        <f t="array" ref="K22">_xll.FDSRC("-",$A$1,"FE_TIMESERIES("&amp;$D22&amp;",MEAN,"&amp;K$6&amp;","&amp;K$6&amp;",FY,'BKRACTMED=1,WIN=0,CURRENCY=USD,UNITS=AUTO,DATE=NOW')")</f>
        <v>17.725000000000001</v>
      </c>
      <c r="L22" s="60" cm="1">
        <f t="array" ref="L22">_xll.FDSRC("-",$A$1,"FE_TIMESERIES("&amp;$D22&amp;",MEAN,"&amp;L$6&amp;","&amp;L$6&amp;",FY,'BKRACTMED=1,WIN=0,CURRENCY=USD,UNITS=AUTO,DATE=NOW')")</f>
        <v>26.576000000000001</v>
      </c>
      <c r="M22" s="60" cm="1">
        <f t="array" ref="M22">_xll.FDSRC("-",$A$1,"FE_TIMESERIES("&amp;$D22&amp;",MEAN,"&amp;M$6&amp;","&amp;M$6&amp;",FY,'BKRACTMED=1,WIN=0,CURRENCY=USD,UNITS=AUTO,DATE=NOW')")</f>
        <v>27.58</v>
      </c>
      <c r="N22" s="60" cm="1">
        <f t="array" ref="N22">_xll.FDSRC("-",$A$1,"FE_TIMESERIES("&amp;$D22&amp;",MEAN,"&amp;N$6&amp;","&amp;N$6&amp;",FY,'BKRACTMED=1,WIN=0,CURRENCY=USD,UNITS=AUTO,DATE=NOW')")</f>
        <v>7.242</v>
      </c>
      <c r="O22" s="60" cm="1">
        <f t="array" ref="O22">_xll.FDSRC("-",$A$1,"FE_TIMESERIES("&amp;$D22&amp;",MEAN,"&amp;O$6&amp;","&amp;O$6&amp;",FY,'BKRACTMED=1,WIN=0,CURRENCY=USD,UNITS=AUTO,DATE=NOW')")</f>
        <v>-54.603000000000002</v>
      </c>
    </row>
    <row r="23" spans="1:15" x14ac:dyDescent="0.3">
      <c r="A23" s="42"/>
    </row>
    <row r="24" spans="1:15" x14ac:dyDescent="0.3">
      <c r="A24" s="43" t="s">
        <v>132</v>
      </c>
      <c r="E24" s="56" t="s">
        <v>262</v>
      </c>
      <c r="F24" s="56" t="s">
        <v>262</v>
      </c>
      <c r="G24" s="56" t="s">
        <v>262</v>
      </c>
      <c r="H24" s="56" t="s">
        <v>262</v>
      </c>
      <c r="I24" s="56" t="s">
        <v>262</v>
      </c>
      <c r="J24" s="56" t="s">
        <v>262</v>
      </c>
      <c r="K24" s="56" t="s">
        <v>262</v>
      </c>
      <c r="L24" s="56" t="s">
        <v>262</v>
      </c>
      <c r="M24" s="56" t="s">
        <v>262</v>
      </c>
      <c r="N24" s="56" t="s">
        <v>262</v>
      </c>
      <c r="O24" s="56" t="s">
        <v>262</v>
      </c>
    </row>
    <row r="25" spans="1:15" x14ac:dyDescent="0.3">
      <c r="A25" s="44" t="s">
        <v>133</v>
      </c>
      <c r="D25" s="63" t="s">
        <v>407</v>
      </c>
      <c r="E25" s="61" cm="1">
        <f t="array" ref="E25">_xll.FDSRC("-",$A$1,"FE_TIMESERIES("&amp;$D25&amp;",MEAN,"&amp;E$6&amp;","&amp;E$6&amp;",FY,'BKRACTMED=1,WIN=0,CURRENCY=USD,UNITS=AUTO,DATE=NOW')")</f>
        <v>3.02</v>
      </c>
      <c r="F25" s="61" cm="1">
        <f t="array" ref="F25">_xll.FDSRC("-",$A$1,"FE_TIMESERIES("&amp;$D25&amp;",MEAN,"&amp;F$6&amp;","&amp;F$6&amp;",FY,'BKRACTMED=1,WIN=0,CURRENCY=USD,UNITS=AUTO,DATE=NOW')")</f>
        <v>5.63</v>
      </c>
      <c r="G25" s="61" cm="1">
        <f t="array" ref="G25">_xll.FDSRC("-",$A$1,"FE_TIMESERIES("&amp;$D25&amp;",MEAN,"&amp;G$6&amp;","&amp;G$6&amp;",FY,'BKRACTMED=1,WIN=0,CURRENCY=USD,UNITS=AUTO,DATE=NOW')")</f>
        <v>5.1086299999999998</v>
      </c>
      <c r="H25" s="61" cm="1">
        <f t="array" ref="H25">_xll.FDSRC("-",$A$1,"FE_TIMESERIES("&amp;$D25&amp;",MEAN,"&amp;H$6&amp;","&amp;H$6&amp;",FY,'BKRACTMED=1,WIN=0,CURRENCY=USD,UNITS=AUTO,DATE=NOW')")</f>
        <v>5.9337799999999996</v>
      </c>
      <c r="I25" s="61" cm="1">
        <f t="array" ref="I25">_xll.FDSRC("-",$A$1,"FE_TIMESERIES("&amp;$D25&amp;",MEAN,"&amp;I$6&amp;","&amp;I$6&amp;",FY,'BKRACTMED=1,WIN=0,CURRENCY=USD,UNITS=AUTO,DATE=NOW')")</f>
        <v>2.7578999999999998</v>
      </c>
      <c r="J25" s="61" cm="1">
        <f t="array" ref="J25">_xll.FDSRC("-",$A$1,"FE_TIMESERIES("&amp;$D25&amp;",MEAN,"&amp;J$6&amp;","&amp;J$6&amp;",FY,'BKRACTMED=1,WIN=0,CURRENCY=USD,UNITS=AUTO,DATE=NOW')")</f>
        <v>-0.95862099999999995</v>
      </c>
      <c r="K25" s="61" cm="1">
        <f t="array" ref="K25">_xll.FDSRC("-",$A$1,"FE_TIMESERIES("&amp;$D25&amp;",MEAN,"&amp;K$6&amp;","&amp;K$6&amp;",FY,'BKRACTMED=1,WIN=0,CURRENCY=USD,UNITS=AUTO,DATE=NOW')")</f>
        <v>3.23</v>
      </c>
      <c r="L25" s="61" cm="1">
        <f t="array" ref="L25">_xll.FDSRC("-",$A$1,"FE_TIMESERIES("&amp;$D25&amp;",MEAN,"&amp;L$6&amp;","&amp;L$6&amp;",FY,'BKRACTMED=1,WIN=0,CURRENCY=USD,UNITS=AUTO,DATE=NOW')")</f>
        <v>2.57</v>
      </c>
      <c r="M25" s="61" cm="1">
        <f t="array" ref="M25">_xll.FDSRC("-",$A$1,"FE_TIMESERIES("&amp;$D25&amp;",MEAN,"&amp;M$6&amp;","&amp;M$6&amp;",FY,'BKRACTMED=1,WIN=0,CURRENCY=USD,UNITS=AUTO,DATE=NOW')")</f>
        <v>3.44</v>
      </c>
      <c r="N25" s="61" cm="1">
        <f t="array" ref="N25">_xll.FDSRC("-",$A$1,"FE_TIMESERIES("&amp;$D25&amp;",MEAN,"&amp;N$6&amp;","&amp;N$6&amp;",FY,'BKRACTMED=1,WIN=0,CURRENCY=USD,UNITS=AUTO,DATE=NOW')")</f>
        <v>0.1</v>
      </c>
      <c r="O25" s="61" cm="1">
        <f t="array" ref="O25">_xll.FDSRC("-",$A$1,"FE_TIMESERIES("&amp;$D25&amp;",MEAN,"&amp;O$6&amp;","&amp;O$6&amp;",FY,'BKRACTMED=1,WIN=0,CURRENCY=USD,UNITS=AUTO,DATE=NOW')")</f>
        <v>-5.48</v>
      </c>
    </row>
    <row r="26" spans="1:15" x14ac:dyDescent="0.3">
      <c r="A26" s="44"/>
    </row>
    <row r="27" spans="1:15" x14ac:dyDescent="0.3">
      <c r="A27" s="36" t="s">
        <v>357</v>
      </c>
    </row>
    <row r="28" spans="1:15" x14ac:dyDescent="0.3">
      <c r="A28" s="45" t="s">
        <v>135</v>
      </c>
      <c r="D28" t="s">
        <v>408</v>
      </c>
      <c r="E28" s="56" t="str" cm="1">
        <f t="array" ref="E28">_xll.FDSRC("-",$A$1,"FE_TIMESERIES("&amp;$D28&amp;",MEAN,"&amp;E$6&amp;","&amp;E$6&amp;",FY,'BKRACTMED=1,WIN=0,CURRENCY=USD,UNITS=AUTO,DATE=NOW')")</f>
        <v>-</v>
      </c>
      <c r="F28" s="56" t="str" cm="1">
        <f t="array" ref="F28">_xll.FDSRC("-",$A$1,"FE_TIMESERIES("&amp;$D28&amp;",MEAN,"&amp;F$6&amp;","&amp;F$6&amp;",FY,'BKRACTMED=1,WIN=0,CURRENCY=USD,UNITS=AUTO,DATE=NOW')")</f>
        <v>-</v>
      </c>
      <c r="G28" s="56" t="str" cm="1">
        <f t="array" ref="G28">_xll.FDSRC("-",$A$1,"FE_TIMESERIES("&amp;$D28&amp;",MEAN,"&amp;G$6&amp;","&amp;G$6&amp;",FY,'BKRACTMED=1,WIN=0,CURRENCY=USD,UNITS=AUTO,DATE=NOW')")</f>
        <v>-</v>
      </c>
      <c r="H28" s="56" t="str" cm="1">
        <f t="array" ref="H28">_xll.FDSRC("-",$A$1,"FE_TIMESERIES("&amp;$D28&amp;",MEAN,"&amp;H$6&amp;","&amp;H$6&amp;",FY,'BKRACTMED=1,WIN=0,CURRENCY=USD,UNITS=AUTO,DATE=NOW')")</f>
        <v>-</v>
      </c>
      <c r="I28" s="56" t="str" cm="1">
        <f t="array" ref="I28">_xll.FDSRC("-",$A$1,"FE_TIMESERIES("&amp;$D28&amp;",MEAN,"&amp;I$6&amp;","&amp;I$6&amp;",FY,'BKRACTMED=1,WIN=0,CURRENCY=USD,UNITS=AUTO,DATE=NOW')")</f>
        <v>-</v>
      </c>
      <c r="J28" s="56" t="str" cm="1">
        <f t="array" ref="J28">_xll.FDSRC("-",$A$1,"FE_TIMESERIES("&amp;$D28&amp;",MEAN,"&amp;J$6&amp;","&amp;J$6&amp;",FY,'BKRACTMED=1,WIN=0,CURRENCY=USD,UNITS=AUTO,DATE=NOW')")</f>
        <v>-</v>
      </c>
      <c r="K28" s="56" t="str" cm="1">
        <f t="array" ref="K28">_xll.FDSRC("-",$A$1,"FE_TIMESERIES("&amp;$D28&amp;",MEAN,"&amp;K$6&amp;","&amp;K$6&amp;",FY,'BKRACTMED=1,WIN=0,CURRENCY=USD,UNITS=AUTO,DATE=NOW')")</f>
        <v>-</v>
      </c>
      <c r="L28" s="56" t="str" cm="1">
        <f t="array" ref="L28">_xll.FDSRC("-",$A$1,"FE_TIMESERIES("&amp;$D28&amp;",MEAN,"&amp;L$6&amp;","&amp;L$6&amp;",FY,'BKRACTMED=1,WIN=0,CURRENCY=USD,UNITS=AUTO,DATE=NOW')")</f>
        <v>-</v>
      </c>
      <c r="M28" s="56" t="str" cm="1">
        <f t="array" ref="M28">_xll.FDSRC("-",$A$1,"FE_TIMESERIES("&amp;$D28&amp;",MEAN,"&amp;M$6&amp;","&amp;M$6&amp;",FY,'BKRACTMED=1,WIN=0,CURRENCY=USD,UNITS=AUTO,DATE=NOW')")</f>
        <v>-</v>
      </c>
      <c r="N28" s="56" t="str" cm="1">
        <f t="array" ref="N28">_xll.FDSRC("-",$A$1,"FE_TIMESERIES("&amp;$D28&amp;",MEAN,"&amp;N$6&amp;","&amp;N$6&amp;",FY,'BKRACTMED=1,WIN=0,CURRENCY=USD,UNITS=AUTO,DATE=NOW')")</f>
        <v>-</v>
      </c>
      <c r="O28" s="56" t="str" cm="1">
        <f t="array" ref="O28">_xll.FDSRC("-",$A$1,"FE_TIMESERIES("&amp;$D28&amp;",MEAN,"&amp;O$6&amp;","&amp;O$6&amp;",FY,'BKRACTMED=1,WIN=0,CURRENCY=USD,UNITS=AUTO,DATE=NOW')")</f>
        <v>-</v>
      </c>
    </row>
    <row r="29" spans="1:15" x14ac:dyDescent="0.3">
      <c r="A29" s="45" t="s">
        <v>136</v>
      </c>
      <c r="D29" t="s">
        <v>409</v>
      </c>
      <c r="E29" s="56" t="str" cm="1">
        <f t="array" ref="E29">_xll.FDSRC("-",$A$1,"FE_TIMESERIES("&amp;$D29&amp;",MEAN,"&amp;E$6&amp;","&amp;E$6&amp;",FY,'BKRACTMED=1,WIN=0,CURRENCY=USD,UNITS=AUTO,DATE=NOW')")</f>
        <v>-</v>
      </c>
      <c r="F29" s="56" t="str" cm="1">
        <f t="array" ref="F29">_xll.FDSRC("-",$A$1,"FE_TIMESERIES("&amp;$D29&amp;",MEAN,"&amp;F$6&amp;","&amp;F$6&amp;",FY,'BKRACTMED=1,WIN=0,CURRENCY=USD,UNITS=AUTO,DATE=NOW')")</f>
        <v>-</v>
      </c>
      <c r="G29" s="56" t="str" cm="1">
        <f t="array" ref="G29">_xll.FDSRC("-",$A$1,"FE_TIMESERIES("&amp;$D29&amp;",MEAN,"&amp;G$6&amp;","&amp;G$6&amp;",FY,'BKRACTMED=1,WIN=0,CURRENCY=USD,UNITS=AUTO,DATE=NOW')")</f>
        <v>-</v>
      </c>
      <c r="H29" s="56" t="str" cm="1">
        <f t="array" ref="H29">_xll.FDSRC("-",$A$1,"FE_TIMESERIES("&amp;$D29&amp;",MEAN,"&amp;H$6&amp;","&amp;H$6&amp;",FY,'BKRACTMED=1,WIN=0,CURRENCY=USD,UNITS=AUTO,DATE=NOW')")</f>
        <v>-</v>
      </c>
      <c r="I29" s="56" t="str" cm="1">
        <f t="array" ref="I29">_xll.FDSRC("-",$A$1,"FE_TIMESERIES("&amp;$D29&amp;",MEAN,"&amp;I$6&amp;","&amp;I$6&amp;",FY,'BKRACTMED=1,WIN=0,CURRENCY=USD,UNITS=AUTO,DATE=NOW')")</f>
        <v>-</v>
      </c>
      <c r="J29" s="56" t="str" cm="1">
        <f t="array" ref="J29">_xll.FDSRC("-",$A$1,"FE_TIMESERIES("&amp;$D29&amp;",MEAN,"&amp;J$6&amp;","&amp;J$6&amp;",FY,'BKRACTMED=1,WIN=0,CURRENCY=USD,UNITS=AUTO,DATE=NOW')")</f>
        <v>-</v>
      </c>
      <c r="K29" s="56" t="str" cm="1">
        <f t="array" ref="K29">_xll.FDSRC("-",$A$1,"FE_TIMESERIES("&amp;$D29&amp;",MEAN,"&amp;K$6&amp;","&amp;K$6&amp;",FY,'BKRACTMED=1,WIN=0,CURRENCY=USD,UNITS=AUTO,DATE=NOW')")</f>
        <v>-</v>
      </c>
      <c r="L29" s="56" t="str" cm="1">
        <f t="array" ref="L29">_xll.FDSRC("-",$A$1,"FE_TIMESERIES("&amp;$D29&amp;",MEAN,"&amp;L$6&amp;","&amp;L$6&amp;",FY,'BKRACTMED=1,WIN=0,CURRENCY=USD,UNITS=AUTO,DATE=NOW')")</f>
        <v>-</v>
      </c>
      <c r="M29" s="56" t="str" cm="1">
        <f t="array" ref="M29">_xll.FDSRC("-",$A$1,"FE_TIMESERIES("&amp;$D29&amp;",MEAN,"&amp;M$6&amp;","&amp;M$6&amp;",FY,'BKRACTMED=1,WIN=0,CURRENCY=USD,UNITS=AUTO,DATE=NOW')")</f>
        <v>-</v>
      </c>
      <c r="N29" s="56" t="str" cm="1">
        <f t="array" ref="N29">_xll.FDSRC("-",$A$1,"FE_TIMESERIES("&amp;$D29&amp;",MEAN,"&amp;N$6&amp;","&amp;N$6&amp;",FY,'BKRACTMED=1,WIN=0,CURRENCY=USD,UNITS=AUTO,DATE=NOW')")</f>
        <v>-</v>
      </c>
      <c r="O29" s="56" t="str" cm="1">
        <f t="array" ref="O29">_xll.FDSRC("-",$A$1,"FE_TIMESERIES("&amp;$D29&amp;",MEAN,"&amp;O$6&amp;","&amp;O$6&amp;",FY,'BKRACTMED=1,WIN=0,CURRENCY=USD,UNITS=AUTO,DATE=NOW')")</f>
        <v>-</v>
      </c>
    </row>
    <row r="30" spans="1:15" x14ac:dyDescent="0.3">
      <c r="A30" s="45"/>
      <c r="E30" s="56"/>
      <c r="F30" s="56"/>
      <c r="G30" s="56"/>
      <c r="H30" s="56"/>
      <c r="I30" s="56"/>
      <c r="J30" s="56"/>
      <c r="K30" s="56"/>
      <c r="L30" s="56"/>
      <c r="M30" s="56"/>
      <c r="N30" s="56"/>
      <c r="O30" s="56"/>
    </row>
    <row r="31" spans="1:15" x14ac:dyDescent="0.3">
      <c r="A31" s="45" t="s">
        <v>138</v>
      </c>
      <c r="D31" t="s">
        <v>139</v>
      </c>
      <c r="E31" s="56" t="str" cm="1">
        <f t="array" ref="E31">_xll.FDSRC("-",$A$1,"FE_TIMESERIES("&amp;$D31&amp;",MEAN,"&amp;E$6&amp;","&amp;E$6&amp;",FY,'BKRACTMED=1,WIN=0,CURRENCY=USD,UNITS=AUTO,DATE=NOW')")</f>
        <v>-</v>
      </c>
      <c r="F31" s="56" t="str" cm="1">
        <f t="array" ref="F31">_xll.FDSRC("-",$A$1,"FE_TIMESERIES("&amp;$D31&amp;",MEAN,"&amp;F$6&amp;","&amp;F$6&amp;",FY,'BKRACTMED=1,WIN=0,CURRENCY=USD,UNITS=AUTO,DATE=NOW')")</f>
        <v>-</v>
      </c>
      <c r="G31" s="56" t="str" cm="1">
        <f t="array" ref="G31">_xll.FDSRC("-",$A$1,"FE_TIMESERIES("&amp;$D31&amp;",MEAN,"&amp;G$6&amp;","&amp;G$6&amp;",FY,'BKRACTMED=1,WIN=0,CURRENCY=USD,UNITS=AUTO,DATE=NOW')")</f>
        <v>-</v>
      </c>
      <c r="H31" s="56" t="str" cm="1">
        <f t="array" ref="H31">_xll.FDSRC("-",$A$1,"FE_TIMESERIES("&amp;$D31&amp;",MEAN,"&amp;H$6&amp;","&amp;H$6&amp;",FY,'BKRACTMED=1,WIN=0,CURRENCY=USD,UNITS=AUTO,DATE=NOW')")</f>
        <v>-</v>
      </c>
      <c r="I31" s="56" t="str" cm="1">
        <f t="array" ref="I31">_xll.FDSRC("-",$A$1,"FE_TIMESERIES("&amp;$D31&amp;",MEAN,"&amp;I$6&amp;","&amp;I$6&amp;",FY,'BKRACTMED=1,WIN=0,CURRENCY=USD,UNITS=AUTO,DATE=NOW')")</f>
        <v>-</v>
      </c>
      <c r="J31" s="56" t="str" cm="1">
        <f t="array" ref="J31">_xll.FDSRC("-",$A$1,"FE_TIMESERIES("&amp;$D31&amp;",MEAN,"&amp;J$6&amp;","&amp;J$6&amp;",FY,'BKRACTMED=1,WIN=0,CURRENCY=USD,UNITS=AUTO,DATE=NOW')")</f>
        <v>-</v>
      </c>
      <c r="K31" s="56" t="str" cm="1">
        <f t="array" ref="K31">_xll.FDSRC("-",$A$1,"FE_TIMESERIES("&amp;$D31&amp;",MEAN,"&amp;K$6&amp;","&amp;K$6&amp;",FY,'BKRACTMED=1,WIN=0,CURRENCY=USD,UNITS=AUTO,DATE=NOW')")</f>
        <v>-</v>
      </c>
      <c r="L31" s="56" t="str" cm="1">
        <f t="array" ref="L31">_xll.FDSRC("-",$A$1,"FE_TIMESERIES("&amp;$D31&amp;",MEAN,"&amp;L$6&amp;","&amp;L$6&amp;",FY,'BKRACTMED=1,WIN=0,CURRENCY=USD,UNITS=AUTO,DATE=NOW')")</f>
        <v>-</v>
      </c>
      <c r="M31" s="56" t="str" cm="1">
        <f t="array" ref="M31">_xll.FDSRC("-",$A$1,"FE_TIMESERIES("&amp;$D31&amp;",MEAN,"&amp;M$6&amp;","&amp;M$6&amp;",FY,'BKRACTMED=1,WIN=0,CURRENCY=USD,UNITS=AUTO,DATE=NOW')")</f>
        <v>-</v>
      </c>
      <c r="N31" s="56" t="str" cm="1">
        <f t="array" ref="N31">_xll.FDSRC("-",$A$1,"FE_TIMESERIES("&amp;$D31&amp;",MEAN,"&amp;N$6&amp;","&amp;N$6&amp;",FY,'BKRACTMED=1,WIN=0,CURRENCY=USD,UNITS=AUTO,DATE=NOW')")</f>
        <v>-</v>
      </c>
      <c r="O31" s="56" t="str" cm="1">
        <f t="array" ref="O31">_xll.FDSRC("-",$A$1,"FE_TIMESERIES("&amp;$D31&amp;",MEAN,"&amp;O$6&amp;","&amp;O$6&amp;",FY,'BKRACTMED=1,WIN=0,CURRENCY=USD,UNITS=AUTO,DATE=NOW')")</f>
        <v>-</v>
      </c>
    </row>
    <row r="32" spans="1:15" x14ac:dyDescent="0.3">
      <c r="A32" s="45" t="s">
        <v>140</v>
      </c>
      <c r="D32" t="s">
        <v>410</v>
      </c>
      <c r="E32" s="56" t="str" cm="1">
        <f t="array" ref="E32">_xll.FDSRC("-",$A$1,"FE_TIMESERIES("&amp;$D32&amp;",MEAN,"&amp;E$6&amp;","&amp;E$6&amp;",FY,'BKRACTMED=1,WIN=0,CURRENCY=USD,UNITS=AUTO,DATE=NOW')")</f>
        <v>-</v>
      </c>
      <c r="F32" s="56" t="str" cm="1">
        <f t="array" ref="F32">_xll.FDSRC("-",$A$1,"FE_TIMESERIES("&amp;$D32&amp;",MEAN,"&amp;F$6&amp;","&amp;F$6&amp;",FY,'BKRACTMED=1,WIN=0,CURRENCY=USD,UNITS=AUTO,DATE=NOW')")</f>
        <v>-</v>
      </c>
      <c r="G32" s="56" t="str" cm="1">
        <f t="array" ref="G32">_xll.FDSRC("-",$A$1,"FE_TIMESERIES("&amp;$D32&amp;",MEAN,"&amp;G$6&amp;","&amp;G$6&amp;",FY,'BKRACTMED=1,WIN=0,CURRENCY=USD,UNITS=AUTO,DATE=NOW')")</f>
        <v>-</v>
      </c>
      <c r="H32" s="56" t="str" cm="1">
        <f t="array" ref="H32">_xll.FDSRC("-",$A$1,"FE_TIMESERIES("&amp;$D32&amp;",MEAN,"&amp;H$6&amp;","&amp;H$6&amp;",FY,'BKRACTMED=1,WIN=0,CURRENCY=USD,UNITS=AUTO,DATE=NOW')")</f>
        <v>-</v>
      </c>
      <c r="I32" s="56" t="str" cm="1">
        <f t="array" ref="I32">_xll.FDSRC("-",$A$1,"FE_TIMESERIES("&amp;$D32&amp;",MEAN,"&amp;I$6&amp;","&amp;I$6&amp;",FY,'BKRACTMED=1,WIN=0,CURRENCY=USD,UNITS=AUTO,DATE=NOW')")</f>
        <v>-</v>
      </c>
      <c r="J32" s="56" t="str" cm="1">
        <f t="array" ref="J32">_xll.FDSRC("-",$A$1,"FE_TIMESERIES("&amp;$D32&amp;",MEAN,"&amp;J$6&amp;","&amp;J$6&amp;",FY,'BKRACTMED=1,WIN=0,CURRENCY=USD,UNITS=AUTO,DATE=NOW')")</f>
        <v>-</v>
      </c>
      <c r="K32" s="56" t="str" cm="1">
        <f t="array" ref="K32">_xll.FDSRC("-",$A$1,"FE_TIMESERIES("&amp;$D32&amp;",MEAN,"&amp;K$6&amp;","&amp;K$6&amp;",FY,'BKRACTMED=1,WIN=0,CURRENCY=USD,UNITS=AUTO,DATE=NOW')")</f>
        <v>-</v>
      </c>
      <c r="L32" s="56" t="str" cm="1">
        <f t="array" ref="L32">_xll.FDSRC("-",$A$1,"FE_TIMESERIES("&amp;$D32&amp;",MEAN,"&amp;L$6&amp;","&amp;L$6&amp;",FY,'BKRACTMED=1,WIN=0,CURRENCY=USD,UNITS=AUTO,DATE=NOW')")</f>
        <v>-</v>
      </c>
      <c r="M32" s="56" t="str" cm="1">
        <f t="array" ref="M32">_xll.FDSRC("-",$A$1,"FE_TIMESERIES("&amp;$D32&amp;",MEAN,"&amp;M$6&amp;","&amp;M$6&amp;",FY,'BKRACTMED=1,WIN=0,CURRENCY=USD,UNITS=AUTO,DATE=NOW')")</f>
        <v>-</v>
      </c>
      <c r="N32" s="56" t="str" cm="1">
        <f t="array" ref="N32">_xll.FDSRC("-",$A$1,"FE_TIMESERIES("&amp;$D32&amp;",MEAN,"&amp;N$6&amp;","&amp;N$6&amp;",FY,'BKRACTMED=1,WIN=0,CURRENCY=USD,UNITS=AUTO,DATE=NOW')")</f>
        <v>-</v>
      </c>
      <c r="O32" s="56" t="str" cm="1">
        <f t="array" ref="O32">_xll.FDSRC("-",$A$1,"FE_TIMESERIES("&amp;$D32&amp;",MEAN,"&amp;O$6&amp;","&amp;O$6&amp;",FY,'BKRACTMED=1,WIN=0,CURRENCY=USD,UNITS=AUTO,DATE=NOW')")</f>
        <v>-</v>
      </c>
    </row>
    <row r="33" spans="1:15" x14ac:dyDescent="0.3">
      <c r="A33" s="45" t="s">
        <v>142</v>
      </c>
      <c r="E33" s="56" t="s">
        <v>262</v>
      </c>
      <c r="F33" s="56" t="s">
        <v>262</v>
      </c>
      <c r="G33" s="56" t="s">
        <v>262</v>
      </c>
      <c r="H33" s="56" t="s">
        <v>262</v>
      </c>
      <c r="I33" s="56" t="s">
        <v>262</v>
      </c>
      <c r="J33" s="56" t="s">
        <v>262</v>
      </c>
      <c r="K33" s="56" t="s">
        <v>262</v>
      </c>
      <c r="L33" s="56" t="s">
        <v>262</v>
      </c>
      <c r="M33" s="56" t="s">
        <v>262</v>
      </c>
      <c r="N33" s="56" t="s">
        <v>262</v>
      </c>
      <c r="O33" s="56" t="s">
        <v>262</v>
      </c>
    </row>
    <row r="34" spans="1:15" x14ac:dyDescent="0.3">
      <c r="A34" s="45" t="s">
        <v>143</v>
      </c>
      <c r="E34" s="56" t="s">
        <v>262</v>
      </c>
      <c r="F34" s="56" t="s">
        <v>262</v>
      </c>
      <c r="G34" s="56" t="s">
        <v>262</v>
      </c>
      <c r="H34" s="56" t="s">
        <v>262</v>
      </c>
      <c r="I34" s="56" t="s">
        <v>262</v>
      </c>
      <c r="J34" s="56" t="s">
        <v>262</v>
      </c>
      <c r="K34" s="56" t="s">
        <v>262</v>
      </c>
      <c r="L34" s="56" t="s">
        <v>262</v>
      </c>
      <c r="M34" s="56" t="s">
        <v>262</v>
      </c>
      <c r="N34" s="56" t="s">
        <v>262</v>
      </c>
      <c r="O34" s="56" t="s">
        <v>262</v>
      </c>
    </row>
    <row r="35" spans="1:15" x14ac:dyDescent="0.3">
      <c r="A35" s="46" t="s">
        <v>144</v>
      </c>
      <c r="D35" t="s">
        <v>411</v>
      </c>
      <c r="E35" s="60" cm="1">
        <f t="array" ref="E35">_xll.FDSRC("-",$A$1,"FE_TIMESERIES("&amp;$D35&amp;",MEAN,"&amp;E$6&amp;","&amp;E$6&amp;",FY,'BKRACTMED=1,WIN=0,CURRENCY=USD,UNITS=AUTO,DATE=NOW')")</f>
        <v>338.28800000000001</v>
      </c>
      <c r="F35" s="60" t="str" cm="1">
        <f t="array" ref="F35">_xll.FDSRC("-",$A$1,"FE_TIMESERIES("&amp;$D35&amp;",MEAN,"&amp;F$6&amp;","&amp;F$6&amp;",FY,'BKRACTMED=1,WIN=0,CURRENCY=USD,UNITS=AUTO,DATE=NOW')")</f>
        <v>-</v>
      </c>
      <c r="G35" s="60" t="str" cm="1">
        <f t="array" ref="G35">_xll.FDSRC("-",$A$1,"FE_TIMESERIES("&amp;$D35&amp;",MEAN,"&amp;G$6&amp;","&amp;G$6&amp;",FY,'BKRACTMED=1,WIN=0,CURRENCY=USD,UNITS=AUTO,DATE=NOW')")</f>
        <v>-</v>
      </c>
      <c r="H35" s="60" t="str" cm="1">
        <f t="array" ref="H35">_xll.FDSRC("-",$A$1,"FE_TIMESERIES("&amp;$D35&amp;",MEAN,"&amp;H$6&amp;","&amp;H$6&amp;",FY,'BKRACTMED=1,WIN=0,CURRENCY=USD,UNITS=AUTO,DATE=NOW')")</f>
        <v>-</v>
      </c>
      <c r="I35" s="60" t="str" cm="1">
        <f t="array" ref="I35">_xll.FDSRC("-",$A$1,"FE_TIMESERIES("&amp;$D35&amp;",MEAN,"&amp;I$6&amp;","&amp;I$6&amp;",FY,'BKRACTMED=1,WIN=0,CURRENCY=USD,UNITS=AUTO,DATE=NOW')")</f>
        <v>-</v>
      </c>
      <c r="J35" s="60" t="str" cm="1">
        <f t="array" ref="J35">_xll.FDSRC("-",$A$1,"FE_TIMESERIES("&amp;$D35&amp;",MEAN,"&amp;J$6&amp;","&amp;J$6&amp;",FY,'BKRACTMED=1,WIN=0,CURRENCY=USD,UNITS=AUTO,DATE=NOW')")</f>
        <v>-</v>
      </c>
      <c r="K35" s="60" t="str" cm="1">
        <f t="array" ref="K35">_xll.FDSRC("-",$A$1,"FE_TIMESERIES("&amp;$D35&amp;",MEAN,"&amp;K$6&amp;","&amp;K$6&amp;",FY,'BKRACTMED=1,WIN=0,CURRENCY=USD,UNITS=AUTO,DATE=NOW')")</f>
        <v>-</v>
      </c>
      <c r="L35" s="60" t="str" cm="1">
        <f t="array" ref="L35">_xll.FDSRC("-",$A$1,"FE_TIMESERIES("&amp;$D35&amp;",MEAN,"&amp;L$6&amp;","&amp;L$6&amp;",FY,'BKRACTMED=1,WIN=0,CURRENCY=USD,UNITS=AUTO,DATE=NOW')")</f>
        <v>-</v>
      </c>
      <c r="M35" s="60" t="str" cm="1">
        <f t="array" ref="M35">_xll.FDSRC("-",$A$1,"FE_TIMESERIES("&amp;$D35&amp;",MEAN,"&amp;M$6&amp;","&amp;M$6&amp;",FY,'BKRACTMED=1,WIN=0,CURRENCY=USD,UNITS=AUTO,DATE=NOW')")</f>
        <v>-</v>
      </c>
      <c r="N35" s="60" t="str" cm="1">
        <f t="array" ref="N35">_xll.FDSRC("-",$A$1,"FE_TIMESERIES("&amp;$D35&amp;",MEAN,"&amp;N$6&amp;","&amp;N$6&amp;",FY,'BKRACTMED=1,WIN=0,CURRENCY=USD,UNITS=AUTO,DATE=NOW')")</f>
        <v>-</v>
      </c>
      <c r="O35" s="60" cm="1">
        <f t="array" ref="O35">_xll.FDSRC("-",$A$1,"FE_TIMESERIES("&amp;$D35&amp;",MEAN,"&amp;O$6&amp;","&amp;O$6&amp;",FY,'BKRACTMED=1,WIN=0,CURRENCY=USD,UNITS=AUTO,DATE=NOW')")</f>
        <v>1803.328</v>
      </c>
    </row>
    <row r="36" spans="1:15" x14ac:dyDescent="0.3">
      <c r="A36" s="3"/>
    </row>
    <row r="37" spans="1:15" x14ac:dyDescent="0.3">
      <c r="A37" s="45" t="s">
        <v>145</v>
      </c>
      <c r="D37" t="s">
        <v>412</v>
      </c>
      <c r="E37" s="56" t="str" cm="1">
        <f t="array" ref="E37">_xll.FDSRC("-",$A$1,"FE_TIMESERIES("&amp;$D37&amp;",MEAN,"&amp;E$6&amp;","&amp;E$6&amp;",FY,'BKRACTMED=1,WIN=0,CURRENCY=USD,UNITS=AUTO,DATE=NOW')")</f>
        <v>-</v>
      </c>
      <c r="F37" s="56" t="str" cm="1">
        <f t="array" ref="F37">_xll.FDSRC("-",$A$1,"FE_TIMESERIES("&amp;$D37&amp;",MEAN,"&amp;F$6&amp;","&amp;F$6&amp;",FY,'BKRACTMED=1,WIN=0,CURRENCY=USD,UNITS=AUTO,DATE=NOW')")</f>
        <v>-</v>
      </c>
      <c r="G37" s="56" t="str" cm="1">
        <f t="array" ref="G37">_xll.FDSRC("-",$A$1,"FE_TIMESERIES("&amp;$D37&amp;",MEAN,"&amp;G$6&amp;","&amp;G$6&amp;",FY,'BKRACTMED=1,WIN=0,CURRENCY=USD,UNITS=AUTO,DATE=NOW')")</f>
        <v>-</v>
      </c>
      <c r="H37" s="56" t="str" cm="1">
        <f t="array" ref="H37">_xll.FDSRC("-",$A$1,"FE_TIMESERIES("&amp;$D37&amp;",MEAN,"&amp;H$6&amp;","&amp;H$6&amp;",FY,'BKRACTMED=1,WIN=0,CURRENCY=USD,UNITS=AUTO,DATE=NOW')")</f>
        <v>-</v>
      </c>
      <c r="I37" s="56" t="str" cm="1">
        <f t="array" ref="I37">_xll.FDSRC("-",$A$1,"FE_TIMESERIES("&amp;$D37&amp;",MEAN,"&amp;I$6&amp;","&amp;I$6&amp;",FY,'BKRACTMED=1,WIN=0,CURRENCY=USD,UNITS=AUTO,DATE=NOW')")</f>
        <v>-</v>
      </c>
      <c r="J37" s="56" t="str" cm="1">
        <f t="array" ref="J37">_xll.FDSRC("-",$A$1,"FE_TIMESERIES("&amp;$D37&amp;",MEAN,"&amp;J$6&amp;","&amp;J$6&amp;",FY,'BKRACTMED=1,WIN=0,CURRENCY=USD,UNITS=AUTO,DATE=NOW')")</f>
        <v>-</v>
      </c>
      <c r="K37" s="56" t="str" cm="1">
        <f t="array" ref="K37">_xll.FDSRC("-",$A$1,"FE_TIMESERIES("&amp;$D37&amp;",MEAN,"&amp;K$6&amp;","&amp;K$6&amp;",FY,'BKRACTMED=1,WIN=0,CURRENCY=USD,UNITS=AUTO,DATE=NOW')")</f>
        <v>-</v>
      </c>
      <c r="L37" s="56" t="str" cm="1">
        <f t="array" ref="L37">_xll.FDSRC("-",$A$1,"FE_TIMESERIES("&amp;$D37&amp;",MEAN,"&amp;L$6&amp;","&amp;L$6&amp;",FY,'BKRACTMED=1,WIN=0,CURRENCY=USD,UNITS=AUTO,DATE=NOW')")</f>
        <v>-</v>
      </c>
      <c r="M37" s="56" t="str" cm="1">
        <f t="array" ref="M37">_xll.FDSRC("-",$A$1,"FE_TIMESERIES("&amp;$D37&amp;",MEAN,"&amp;M$6&amp;","&amp;M$6&amp;",FY,'BKRACTMED=1,WIN=0,CURRENCY=USD,UNITS=AUTO,DATE=NOW')")</f>
        <v>-</v>
      </c>
      <c r="N37" s="56" t="str" cm="1">
        <f t="array" ref="N37">_xll.FDSRC("-",$A$1,"FE_TIMESERIES("&amp;$D37&amp;",MEAN,"&amp;N$6&amp;","&amp;N$6&amp;",FY,'BKRACTMED=1,WIN=0,CURRENCY=USD,UNITS=AUTO,DATE=NOW')")</f>
        <v>-</v>
      </c>
      <c r="O37" s="56" t="str" cm="1">
        <f t="array" ref="O37">_xll.FDSRC("-",$A$1,"FE_TIMESERIES("&amp;$D37&amp;",MEAN,"&amp;O$6&amp;","&amp;O$6&amp;",FY,'BKRACTMED=1,WIN=0,CURRENCY=USD,UNITS=AUTO,DATE=NOW')")</f>
        <v>-</v>
      </c>
    </row>
    <row r="38" spans="1:15" x14ac:dyDescent="0.3">
      <c r="A38" s="45" t="s">
        <v>146</v>
      </c>
      <c r="D38" t="s">
        <v>413</v>
      </c>
      <c r="E38" s="56" t="str" cm="1">
        <f t="array" ref="E38">_xll.FDSRC("-",$A$1,"FE_TIMESERIES("&amp;$D38&amp;",MEAN,"&amp;E$6&amp;","&amp;E$6&amp;",FY,'BKRACTMED=1,WIN=0,CURRENCY=USD,UNITS=AUTO,DATE=NOW')")</f>
        <v>-</v>
      </c>
      <c r="F38" s="56" t="str" cm="1">
        <f t="array" ref="F38">_xll.FDSRC("-",$A$1,"FE_TIMESERIES("&amp;$D38&amp;",MEAN,"&amp;F$6&amp;","&amp;F$6&amp;",FY,'BKRACTMED=1,WIN=0,CURRENCY=USD,UNITS=AUTO,DATE=NOW')")</f>
        <v>-</v>
      </c>
      <c r="G38" s="56" t="str" cm="1">
        <f t="array" ref="G38">_xll.FDSRC("-",$A$1,"FE_TIMESERIES("&amp;$D38&amp;",MEAN,"&amp;G$6&amp;","&amp;G$6&amp;",FY,'BKRACTMED=1,WIN=0,CURRENCY=USD,UNITS=AUTO,DATE=NOW')")</f>
        <v>-</v>
      </c>
      <c r="H38" s="56" t="str" cm="1">
        <f t="array" ref="H38">_xll.FDSRC("-",$A$1,"FE_TIMESERIES("&amp;$D38&amp;",MEAN,"&amp;H$6&amp;","&amp;H$6&amp;",FY,'BKRACTMED=1,WIN=0,CURRENCY=USD,UNITS=AUTO,DATE=NOW')")</f>
        <v>-</v>
      </c>
      <c r="I38" s="56" t="str" cm="1">
        <f t="array" ref="I38">_xll.FDSRC("-",$A$1,"FE_TIMESERIES("&amp;$D38&amp;",MEAN,"&amp;I$6&amp;","&amp;I$6&amp;",FY,'BKRACTMED=1,WIN=0,CURRENCY=USD,UNITS=AUTO,DATE=NOW')")</f>
        <v>-</v>
      </c>
      <c r="J38" s="56" t="str" cm="1">
        <f t="array" ref="J38">_xll.FDSRC("-",$A$1,"FE_TIMESERIES("&amp;$D38&amp;",MEAN,"&amp;J$6&amp;","&amp;J$6&amp;",FY,'BKRACTMED=1,WIN=0,CURRENCY=USD,UNITS=AUTO,DATE=NOW')")</f>
        <v>-</v>
      </c>
      <c r="K38" s="56" t="str" cm="1">
        <f t="array" ref="K38">_xll.FDSRC("-",$A$1,"FE_TIMESERIES("&amp;$D38&amp;",MEAN,"&amp;K$6&amp;","&amp;K$6&amp;",FY,'BKRACTMED=1,WIN=0,CURRENCY=USD,UNITS=AUTO,DATE=NOW')")</f>
        <v>-</v>
      </c>
      <c r="L38" s="56" t="str" cm="1">
        <f t="array" ref="L38">_xll.FDSRC("-",$A$1,"FE_TIMESERIES("&amp;$D38&amp;",MEAN,"&amp;L$6&amp;","&amp;L$6&amp;",FY,'BKRACTMED=1,WIN=0,CURRENCY=USD,UNITS=AUTO,DATE=NOW')")</f>
        <v>-</v>
      </c>
      <c r="M38" s="56" t="str" cm="1">
        <f t="array" ref="M38">_xll.FDSRC("-",$A$1,"FE_TIMESERIES("&amp;$D38&amp;",MEAN,"&amp;M$6&amp;","&amp;M$6&amp;",FY,'BKRACTMED=1,WIN=0,CURRENCY=USD,UNITS=AUTO,DATE=NOW')")</f>
        <v>-</v>
      </c>
      <c r="N38" s="56" t="str" cm="1">
        <f t="array" ref="N38">_xll.FDSRC("-",$A$1,"FE_TIMESERIES("&amp;$D38&amp;",MEAN,"&amp;N$6&amp;","&amp;N$6&amp;",FY,'BKRACTMED=1,WIN=0,CURRENCY=USD,UNITS=AUTO,DATE=NOW')")</f>
        <v>-</v>
      </c>
      <c r="O38" s="56" t="str" cm="1">
        <f t="array" ref="O38">_xll.FDSRC("-",$A$1,"FE_TIMESERIES("&amp;$D38&amp;",MEAN,"&amp;O$6&amp;","&amp;O$6&amp;",FY,'BKRACTMED=1,WIN=0,CURRENCY=USD,UNITS=AUTO,DATE=NOW')")</f>
        <v>-</v>
      </c>
    </row>
    <row r="39" spans="1:15" x14ac:dyDescent="0.3">
      <c r="A39" s="45" t="s">
        <v>148</v>
      </c>
      <c r="D39" t="s">
        <v>414</v>
      </c>
      <c r="E39" s="56" t="str" cm="1">
        <f t="array" ref="E39">_xll.FDSRC("-",$A$1,"FE_TIMESERIES("&amp;$D39&amp;",MEAN,"&amp;E$6&amp;","&amp;E$6&amp;",FY,'BKRACTMED=1,WIN=0,CURRENCY=USD,UNITS=AUTO,DATE=NOW')")</f>
        <v>-</v>
      </c>
      <c r="F39" s="56" t="str" cm="1">
        <f t="array" ref="F39">_xll.FDSRC("-",$A$1,"FE_TIMESERIES("&amp;$D39&amp;",MEAN,"&amp;F$6&amp;","&amp;F$6&amp;",FY,'BKRACTMED=1,WIN=0,CURRENCY=USD,UNITS=AUTO,DATE=NOW')")</f>
        <v>-</v>
      </c>
      <c r="G39" s="56" t="str" cm="1">
        <f t="array" ref="G39">_xll.FDSRC("-",$A$1,"FE_TIMESERIES("&amp;$D39&amp;",MEAN,"&amp;G$6&amp;","&amp;G$6&amp;",FY,'BKRACTMED=1,WIN=0,CURRENCY=USD,UNITS=AUTO,DATE=NOW')")</f>
        <v>-</v>
      </c>
      <c r="H39" s="56" t="str" cm="1">
        <f t="array" ref="H39">_xll.FDSRC("-",$A$1,"FE_TIMESERIES("&amp;$D39&amp;",MEAN,"&amp;H$6&amp;","&amp;H$6&amp;",FY,'BKRACTMED=1,WIN=0,CURRENCY=USD,UNITS=AUTO,DATE=NOW')")</f>
        <v>-</v>
      </c>
      <c r="I39" s="56" t="str" cm="1">
        <f t="array" ref="I39">_xll.FDSRC("-",$A$1,"FE_TIMESERIES("&amp;$D39&amp;",MEAN,"&amp;I$6&amp;","&amp;I$6&amp;",FY,'BKRACTMED=1,WIN=0,CURRENCY=USD,UNITS=AUTO,DATE=NOW')")</f>
        <v>-</v>
      </c>
      <c r="J39" s="56" t="str" cm="1">
        <f t="array" ref="J39">_xll.FDSRC("-",$A$1,"FE_TIMESERIES("&amp;$D39&amp;",MEAN,"&amp;J$6&amp;","&amp;J$6&amp;",FY,'BKRACTMED=1,WIN=0,CURRENCY=USD,UNITS=AUTO,DATE=NOW')")</f>
        <v>-</v>
      </c>
      <c r="K39" s="56" t="str" cm="1">
        <f t="array" ref="K39">_xll.FDSRC("-",$A$1,"FE_TIMESERIES("&amp;$D39&amp;",MEAN,"&amp;K$6&amp;","&amp;K$6&amp;",FY,'BKRACTMED=1,WIN=0,CURRENCY=USD,UNITS=AUTO,DATE=NOW')")</f>
        <v>-</v>
      </c>
      <c r="L39" s="56" t="str" cm="1">
        <f t="array" ref="L39">_xll.FDSRC("-",$A$1,"FE_TIMESERIES("&amp;$D39&amp;",MEAN,"&amp;L$6&amp;","&amp;L$6&amp;",FY,'BKRACTMED=1,WIN=0,CURRENCY=USD,UNITS=AUTO,DATE=NOW')")</f>
        <v>-</v>
      </c>
      <c r="M39" s="56" t="str" cm="1">
        <f t="array" ref="M39">_xll.FDSRC("-",$A$1,"FE_TIMESERIES("&amp;$D39&amp;",MEAN,"&amp;M$6&amp;","&amp;M$6&amp;",FY,'BKRACTMED=1,WIN=0,CURRENCY=USD,UNITS=AUTO,DATE=NOW')")</f>
        <v>-</v>
      </c>
      <c r="N39" s="56" t="str" cm="1">
        <f t="array" ref="N39">_xll.FDSRC("-",$A$1,"FE_TIMESERIES("&amp;$D39&amp;",MEAN,"&amp;N$6&amp;","&amp;N$6&amp;",FY,'BKRACTMED=1,WIN=0,CURRENCY=USD,UNITS=AUTO,DATE=NOW')")</f>
        <v>-</v>
      </c>
      <c r="O39" s="56" t="str" cm="1">
        <f t="array" ref="O39">_xll.FDSRC("-",$A$1,"FE_TIMESERIES("&amp;$D39&amp;",MEAN,"&amp;O$6&amp;","&amp;O$6&amp;",FY,'BKRACTMED=1,WIN=0,CURRENCY=USD,UNITS=AUTO,DATE=NOW')")</f>
        <v>-</v>
      </c>
    </row>
    <row r="40" spans="1:15" x14ac:dyDescent="0.3">
      <c r="A40" s="45" t="s">
        <v>149</v>
      </c>
      <c r="D40" t="s">
        <v>415</v>
      </c>
      <c r="E40" s="56" t="str" cm="1">
        <f t="array" ref="E40">_xll.FDSRC("-",$A$1,"FE_TIMESERIES("&amp;$D40&amp;",MEAN,"&amp;E$6&amp;","&amp;E$6&amp;",FY,'BKRACTMED=1,WIN=0,CURRENCY=USD,UNITS=AUTO,DATE=NOW')")</f>
        <v>-</v>
      </c>
      <c r="F40" s="56" t="str" cm="1">
        <f t="array" ref="F40">_xll.FDSRC("-",$A$1,"FE_TIMESERIES("&amp;$D40&amp;",MEAN,"&amp;F$6&amp;","&amp;F$6&amp;",FY,'BKRACTMED=1,WIN=0,CURRENCY=USD,UNITS=AUTO,DATE=NOW')")</f>
        <v>-</v>
      </c>
      <c r="G40" s="56" t="str" cm="1">
        <f t="array" ref="G40">_xll.FDSRC("-",$A$1,"FE_TIMESERIES("&amp;$D40&amp;",MEAN,"&amp;G$6&amp;","&amp;G$6&amp;",FY,'BKRACTMED=1,WIN=0,CURRENCY=USD,UNITS=AUTO,DATE=NOW')")</f>
        <v>-</v>
      </c>
      <c r="H40" s="56" t="str" cm="1">
        <f t="array" ref="H40">_xll.FDSRC("-",$A$1,"FE_TIMESERIES("&amp;$D40&amp;",MEAN,"&amp;H$6&amp;","&amp;H$6&amp;",FY,'BKRACTMED=1,WIN=0,CURRENCY=USD,UNITS=AUTO,DATE=NOW')")</f>
        <v>-</v>
      </c>
      <c r="I40" s="56" t="str" cm="1">
        <f t="array" ref="I40">_xll.FDSRC("-",$A$1,"FE_TIMESERIES("&amp;$D40&amp;",MEAN,"&amp;I$6&amp;","&amp;I$6&amp;",FY,'BKRACTMED=1,WIN=0,CURRENCY=USD,UNITS=AUTO,DATE=NOW')")</f>
        <v>-</v>
      </c>
      <c r="J40" s="56" t="str" cm="1">
        <f t="array" ref="J40">_xll.FDSRC("-",$A$1,"FE_TIMESERIES("&amp;$D40&amp;",MEAN,"&amp;J$6&amp;","&amp;J$6&amp;",FY,'BKRACTMED=1,WIN=0,CURRENCY=USD,UNITS=AUTO,DATE=NOW')")</f>
        <v>-</v>
      </c>
      <c r="K40" s="56" t="str" cm="1">
        <f t="array" ref="K40">_xll.FDSRC("-",$A$1,"FE_TIMESERIES("&amp;$D40&amp;",MEAN,"&amp;K$6&amp;","&amp;K$6&amp;",FY,'BKRACTMED=1,WIN=0,CURRENCY=USD,UNITS=AUTO,DATE=NOW')")</f>
        <v>-</v>
      </c>
      <c r="L40" s="56" t="str" cm="1">
        <f t="array" ref="L40">_xll.FDSRC("-",$A$1,"FE_TIMESERIES("&amp;$D40&amp;",MEAN,"&amp;L$6&amp;","&amp;L$6&amp;",FY,'BKRACTMED=1,WIN=0,CURRENCY=USD,UNITS=AUTO,DATE=NOW')")</f>
        <v>-</v>
      </c>
      <c r="M40" s="56" t="str" cm="1">
        <f t="array" ref="M40">_xll.FDSRC("-",$A$1,"FE_TIMESERIES("&amp;$D40&amp;",MEAN,"&amp;M$6&amp;","&amp;M$6&amp;",FY,'BKRACTMED=1,WIN=0,CURRENCY=USD,UNITS=AUTO,DATE=NOW')")</f>
        <v>-</v>
      </c>
      <c r="N40" s="56" t="str" cm="1">
        <f t="array" ref="N40">_xll.FDSRC("-",$A$1,"FE_TIMESERIES("&amp;$D40&amp;",MEAN,"&amp;N$6&amp;","&amp;N$6&amp;",FY,'BKRACTMED=1,WIN=0,CURRENCY=USD,UNITS=AUTO,DATE=NOW')")</f>
        <v>-</v>
      </c>
      <c r="O40" s="56" t="str" cm="1">
        <f t="array" ref="O40">_xll.FDSRC("-",$A$1,"FE_TIMESERIES("&amp;$D40&amp;",MEAN,"&amp;O$6&amp;","&amp;O$6&amp;",FY,'BKRACTMED=1,WIN=0,CURRENCY=USD,UNITS=AUTO,DATE=NOW')")</f>
        <v>-</v>
      </c>
    </row>
    <row r="41" spans="1:15" x14ac:dyDescent="0.3">
      <c r="A41" s="3" t="s">
        <v>150</v>
      </c>
      <c r="D41" t="s">
        <v>416</v>
      </c>
      <c r="E41" s="56" t="str" cm="1">
        <f t="array" ref="E41">_xll.FDSRC("-",$A$1,"FE_TIMESERIES("&amp;$D41&amp;",MEAN,"&amp;E$6&amp;","&amp;E$6&amp;",FY,'BKRACTMED=1,WIN=0,CURRENCY=USD,UNITS=AUTO,DATE=NOW')")</f>
        <v>-</v>
      </c>
      <c r="F41" s="56" t="str" cm="1">
        <f t="array" ref="F41">_xll.FDSRC("-",$A$1,"FE_TIMESERIES("&amp;$D41&amp;",MEAN,"&amp;F$6&amp;","&amp;F$6&amp;",FY,'BKRACTMED=1,WIN=0,CURRENCY=USD,UNITS=AUTO,DATE=NOW')")</f>
        <v>-</v>
      </c>
      <c r="G41" s="56" t="str" cm="1">
        <f t="array" ref="G41">_xll.FDSRC("-",$A$1,"FE_TIMESERIES("&amp;$D41&amp;",MEAN,"&amp;G$6&amp;","&amp;G$6&amp;",FY,'BKRACTMED=1,WIN=0,CURRENCY=USD,UNITS=AUTO,DATE=NOW')")</f>
        <v>-</v>
      </c>
      <c r="H41" s="56" t="str" cm="1">
        <f t="array" ref="H41">_xll.FDSRC("-",$A$1,"FE_TIMESERIES("&amp;$D41&amp;",MEAN,"&amp;H$6&amp;","&amp;H$6&amp;",FY,'BKRACTMED=1,WIN=0,CURRENCY=USD,UNITS=AUTO,DATE=NOW')")</f>
        <v>-</v>
      </c>
      <c r="I41" s="56" t="str" cm="1">
        <f t="array" ref="I41">_xll.FDSRC("-",$A$1,"FE_TIMESERIES("&amp;$D41&amp;",MEAN,"&amp;I$6&amp;","&amp;I$6&amp;",FY,'BKRACTMED=1,WIN=0,CURRENCY=USD,UNITS=AUTO,DATE=NOW')")</f>
        <v>-</v>
      </c>
      <c r="J41" s="56" t="str" cm="1">
        <f t="array" ref="J41">_xll.FDSRC("-",$A$1,"FE_TIMESERIES("&amp;$D41&amp;",MEAN,"&amp;J$6&amp;","&amp;J$6&amp;",FY,'BKRACTMED=1,WIN=0,CURRENCY=USD,UNITS=AUTO,DATE=NOW')")</f>
        <v>-</v>
      </c>
      <c r="K41" s="56" t="str" cm="1">
        <f t="array" ref="K41">_xll.FDSRC("-",$A$1,"FE_TIMESERIES("&amp;$D41&amp;",MEAN,"&amp;K$6&amp;","&amp;K$6&amp;",FY,'BKRACTMED=1,WIN=0,CURRENCY=USD,UNITS=AUTO,DATE=NOW')")</f>
        <v>-</v>
      </c>
      <c r="L41" s="56" t="str" cm="1">
        <f t="array" ref="L41">_xll.FDSRC("-",$A$1,"FE_TIMESERIES("&amp;$D41&amp;",MEAN,"&amp;L$6&amp;","&amp;L$6&amp;",FY,'BKRACTMED=1,WIN=0,CURRENCY=USD,UNITS=AUTO,DATE=NOW')")</f>
        <v>-</v>
      </c>
      <c r="M41" s="56" t="str" cm="1">
        <f t="array" ref="M41">_xll.FDSRC("-",$A$1,"FE_TIMESERIES("&amp;$D41&amp;",MEAN,"&amp;M$6&amp;","&amp;M$6&amp;",FY,'BKRACTMED=1,WIN=0,CURRENCY=USD,UNITS=AUTO,DATE=NOW')")</f>
        <v>-</v>
      </c>
      <c r="N41" s="56" t="str" cm="1">
        <f t="array" ref="N41">_xll.FDSRC("-",$A$1,"FE_TIMESERIES("&amp;$D41&amp;",MEAN,"&amp;N$6&amp;","&amp;N$6&amp;",FY,'BKRACTMED=1,WIN=0,CURRENCY=USD,UNITS=AUTO,DATE=NOW')")</f>
        <v>-</v>
      </c>
      <c r="O41" s="56" t="str" cm="1">
        <f t="array" ref="O41">_xll.FDSRC("-",$A$1,"FE_TIMESERIES("&amp;$D41&amp;",MEAN,"&amp;O$6&amp;","&amp;O$6&amp;",FY,'BKRACTMED=1,WIN=0,CURRENCY=USD,UNITS=AUTO,DATE=NOW')")</f>
        <v>-</v>
      </c>
    </row>
    <row r="42" spans="1:15" x14ac:dyDescent="0.3">
      <c r="A42" s="46" t="s">
        <v>152</v>
      </c>
      <c r="E42" s="56" t="s">
        <v>262</v>
      </c>
      <c r="F42" s="56" t="s">
        <v>262</v>
      </c>
      <c r="G42" s="56" t="s">
        <v>262</v>
      </c>
      <c r="H42" s="56" t="s">
        <v>262</v>
      </c>
      <c r="I42" s="56" t="s">
        <v>262</v>
      </c>
      <c r="J42" s="56" t="s">
        <v>262</v>
      </c>
      <c r="K42" s="56" t="s">
        <v>262</v>
      </c>
      <c r="L42" s="56" t="s">
        <v>262</v>
      </c>
      <c r="M42" s="56" t="s">
        <v>262</v>
      </c>
      <c r="N42" s="56" t="s">
        <v>262</v>
      </c>
      <c r="O42" s="56" t="s">
        <v>262</v>
      </c>
    </row>
    <row r="43" spans="1:15" x14ac:dyDescent="0.3">
      <c r="A43" s="45"/>
    </row>
    <row r="44" spans="1:15" x14ac:dyDescent="0.3">
      <c r="A44" s="45" t="s">
        <v>153</v>
      </c>
      <c r="E44" s="56" t="s">
        <v>262</v>
      </c>
      <c r="F44" s="56" t="s">
        <v>262</v>
      </c>
      <c r="G44" s="56" t="s">
        <v>262</v>
      </c>
      <c r="H44" s="56" t="s">
        <v>262</v>
      </c>
      <c r="I44" s="56" t="s">
        <v>262</v>
      </c>
      <c r="J44" s="56" t="s">
        <v>262</v>
      </c>
      <c r="K44" s="56" t="s">
        <v>262</v>
      </c>
      <c r="L44" s="56" t="s">
        <v>262</v>
      </c>
      <c r="M44" s="56" t="s">
        <v>262</v>
      </c>
      <c r="N44" s="56" t="s">
        <v>262</v>
      </c>
      <c r="O44" s="56" t="s">
        <v>262</v>
      </c>
    </row>
    <row r="45" spans="1:15" x14ac:dyDescent="0.3">
      <c r="A45" s="45" t="s">
        <v>154</v>
      </c>
      <c r="D45" t="s">
        <v>417</v>
      </c>
      <c r="E45" s="56" cm="1">
        <f t="array" ref="E45">_xll.FDSRC("-",$A$1,"FE_TIMESERIES("&amp;$D45&amp;",MEAN,"&amp;E$6&amp;","&amp;E$6&amp;",FY,'BKRACTMED=1,WIN=0,CURRENCY=USD,UNITS=AUTO,DATE=NOW')")</f>
        <v>120.755</v>
      </c>
      <c r="F45" s="56" cm="1">
        <f t="array" ref="F45">_xll.FDSRC("-",$A$1,"FE_TIMESERIES("&amp;$D45&amp;",MEAN,"&amp;F$6&amp;","&amp;F$6&amp;",FY,'BKRACTMED=1,WIN=0,CURRENCY=USD,UNITS=AUTO,DATE=NOW')")</f>
        <v>160.5</v>
      </c>
      <c r="G45" s="56" t="str" cm="1">
        <f t="array" ref="G45">_xll.FDSRC("-",$A$1,"FE_TIMESERIES("&amp;$D45&amp;",MEAN,"&amp;G$6&amp;","&amp;G$6&amp;",FY,'BKRACTMED=1,WIN=0,CURRENCY=USD,UNITS=AUTO,DATE=NOW')")</f>
        <v>-</v>
      </c>
      <c r="H45" s="56" t="str" cm="1">
        <f t="array" ref="H45">_xll.FDSRC("-",$A$1,"FE_TIMESERIES("&amp;$D45&amp;",MEAN,"&amp;H$6&amp;","&amp;H$6&amp;",FY,'BKRACTMED=1,WIN=0,CURRENCY=USD,UNITS=AUTO,DATE=NOW')")</f>
        <v>-</v>
      </c>
      <c r="I45" s="56" t="str" cm="1">
        <f t="array" ref="I45">_xll.FDSRC("-",$A$1,"FE_TIMESERIES("&amp;$D45&amp;",MEAN,"&amp;I$6&amp;","&amp;I$6&amp;",FY,'BKRACTMED=1,WIN=0,CURRENCY=USD,UNITS=AUTO,DATE=NOW')")</f>
        <v>-</v>
      </c>
      <c r="J45" s="56" t="str" cm="1">
        <f t="array" ref="J45">_xll.FDSRC("-",$A$1,"FE_TIMESERIES("&amp;$D45&amp;",MEAN,"&amp;J$6&amp;","&amp;J$6&amp;",FY,'BKRACTMED=1,WIN=0,CURRENCY=USD,UNITS=AUTO,DATE=NOW')")</f>
        <v>-</v>
      </c>
      <c r="K45" s="56" t="str" cm="1">
        <f t="array" ref="K45">_xll.FDSRC("-",$A$1,"FE_TIMESERIES("&amp;$D45&amp;",MEAN,"&amp;K$6&amp;","&amp;K$6&amp;",FY,'BKRACTMED=1,WIN=0,CURRENCY=USD,UNITS=AUTO,DATE=NOW')")</f>
        <v>-</v>
      </c>
      <c r="L45" s="56" t="str" cm="1">
        <f t="array" ref="L45">_xll.FDSRC("-",$A$1,"FE_TIMESERIES("&amp;$D45&amp;",MEAN,"&amp;L$6&amp;","&amp;L$6&amp;",FY,'BKRACTMED=1,WIN=0,CURRENCY=USD,UNITS=AUTO,DATE=NOW')")</f>
        <v>-</v>
      </c>
      <c r="M45" s="56" t="str" cm="1">
        <f t="array" ref="M45">_xll.FDSRC("-",$A$1,"FE_TIMESERIES("&amp;$D45&amp;",MEAN,"&amp;M$6&amp;","&amp;M$6&amp;",FY,'BKRACTMED=1,WIN=0,CURRENCY=USD,UNITS=AUTO,DATE=NOW')")</f>
        <v>-</v>
      </c>
      <c r="N45" s="56" t="str" cm="1">
        <f t="array" ref="N45">_xll.FDSRC("-",$A$1,"FE_TIMESERIES("&amp;$D45&amp;",MEAN,"&amp;N$6&amp;","&amp;N$6&amp;",FY,'BKRACTMED=1,WIN=0,CURRENCY=USD,UNITS=AUTO,DATE=NOW')")</f>
        <v>-</v>
      </c>
      <c r="O45" s="56" cm="1">
        <f t="array" ref="O45">_xll.FDSRC("-",$A$1,"FE_TIMESERIES("&amp;$D45&amp;",MEAN,"&amp;O$6&amp;","&amp;O$6&amp;",FY,'BKRACTMED=1,WIN=0,CURRENCY=USD,UNITS=AUTO,DATE=NOW')")</f>
        <v>162.596</v>
      </c>
    </row>
    <row r="46" spans="1:15" x14ac:dyDescent="0.3">
      <c r="A46" s="46" t="s">
        <v>156</v>
      </c>
      <c r="E46" s="56" t="s">
        <v>262</v>
      </c>
      <c r="F46" s="56" t="s">
        <v>262</v>
      </c>
      <c r="G46" s="56" t="s">
        <v>262</v>
      </c>
      <c r="H46" s="56" t="s">
        <v>262</v>
      </c>
      <c r="I46" s="56" t="s">
        <v>262</v>
      </c>
      <c r="J46" s="56" t="s">
        <v>262</v>
      </c>
      <c r="K46" s="56" t="s">
        <v>262</v>
      </c>
      <c r="L46" s="56" t="s">
        <v>262</v>
      </c>
      <c r="M46" s="56" t="s">
        <v>262</v>
      </c>
      <c r="N46" s="56" t="s">
        <v>262</v>
      </c>
      <c r="O46" s="56" t="s">
        <v>262</v>
      </c>
    </row>
    <row r="47" spans="1:15" x14ac:dyDescent="0.3">
      <c r="A47" s="3"/>
    </row>
    <row r="48" spans="1:15" x14ac:dyDescent="0.3">
      <c r="A48" s="36" t="s">
        <v>374</v>
      </c>
    </row>
    <row r="49" spans="1:15" x14ac:dyDescent="0.3">
      <c r="A49" s="36" t="s">
        <v>158</v>
      </c>
    </row>
    <row r="50" spans="1:15" x14ac:dyDescent="0.3">
      <c r="A50" s="3" t="s">
        <v>126</v>
      </c>
      <c r="D50" t="s">
        <v>406</v>
      </c>
      <c r="E50" s="60" cm="1">
        <f t="array" ref="E50">_xll.FDSRC("-",$A$1,"FE_TIMESERIES("&amp;$D50&amp;",MEAN,"&amp;E$6&amp;","&amp;E$6&amp;",FY,'BKRACTMED=1,WIN=0,CURRENCY=USD,UNITS=AUTO,DATE=NOW')")</f>
        <v>29.835000000000001</v>
      </c>
      <c r="F50" s="60" cm="1">
        <f t="array" ref="F50">_xll.FDSRC("-",$A$1,"FE_TIMESERIES("&amp;$D50&amp;",MEAN,"&amp;F$6&amp;","&amp;F$6&amp;",FY,'BKRACTMED=1,WIN=0,CURRENCY=USD,UNITS=AUTO,DATE=NOW')")</f>
        <v>65.457999999999998</v>
      </c>
      <c r="G50" s="60" cm="1">
        <f t="array" ref="G50">_xll.FDSRC("-",$A$1,"FE_TIMESERIES("&amp;$D50&amp;",MEAN,"&amp;G$6&amp;","&amp;G$6&amp;",FY,'BKRACTMED=1,WIN=0,CURRENCY=USD,UNITS=AUTO,DATE=NOW')")</f>
        <v>62.664000000000001</v>
      </c>
      <c r="H50" s="60" cm="1">
        <f t="array" ref="H50">_xll.FDSRC("-",$A$1,"FE_TIMESERIES("&amp;$D50&amp;",MEAN,"&amp;H$6&amp;","&amp;H$6&amp;",FY,'BKRACTMED=1,WIN=0,CURRENCY=USD,UNITS=AUTO,DATE=NOW')")</f>
        <v>65.861000000000004</v>
      </c>
      <c r="I50" s="60" cm="1">
        <f t="array" ref="I50">_xll.FDSRC("-",$A$1,"FE_TIMESERIES("&amp;$D50&amp;",MEAN,"&amp;I$6&amp;","&amp;I$6&amp;",FY,'BKRACTMED=1,WIN=0,CURRENCY=USD,UNITS=AUTO,DATE=NOW')")</f>
        <v>29.021000000000001</v>
      </c>
      <c r="J50" s="60" cm="1">
        <f t="array" ref="J50">_xll.FDSRC("-",$A$1,"FE_TIMESERIES("&amp;$D50&amp;",MEAN,"&amp;J$6&amp;","&amp;J$6&amp;",FY,'BKRACTMED=1,WIN=0,CURRENCY=USD,UNITS=AUTO,DATE=NOW')")</f>
        <v>-6.8929999999999998</v>
      </c>
      <c r="K50" s="60" cm="1">
        <f t="array" ref="K50">_xll.FDSRC("-",$A$1,"FE_TIMESERIES("&amp;$D50&amp;",MEAN,"&amp;K$6&amp;","&amp;K$6&amp;",FY,'BKRACTMED=1,WIN=0,CURRENCY=USD,UNITS=AUTO,DATE=NOW')")</f>
        <v>17.725000000000001</v>
      </c>
      <c r="L50" s="60" cm="1">
        <f t="array" ref="L50">_xll.FDSRC("-",$A$1,"FE_TIMESERIES("&amp;$D50&amp;",MEAN,"&amp;L$6&amp;","&amp;L$6&amp;",FY,'BKRACTMED=1,WIN=0,CURRENCY=USD,UNITS=AUTO,DATE=NOW')")</f>
        <v>26.576000000000001</v>
      </c>
      <c r="M50" s="60" cm="1">
        <f t="array" ref="M50">_xll.FDSRC("-",$A$1,"FE_TIMESERIES("&amp;$D50&amp;",MEAN,"&amp;M$6&amp;","&amp;M$6&amp;",FY,'BKRACTMED=1,WIN=0,CURRENCY=USD,UNITS=AUTO,DATE=NOW')")</f>
        <v>27.58</v>
      </c>
      <c r="N50" s="60" cm="1">
        <f t="array" ref="N50">_xll.FDSRC("-",$A$1,"FE_TIMESERIES("&amp;$D50&amp;",MEAN,"&amp;N$6&amp;","&amp;N$6&amp;",FY,'BKRACTMED=1,WIN=0,CURRENCY=USD,UNITS=AUTO,DATE=NOW')")</f>
        <v>7.242</v>
      </c>
      <c r="O50" s="60" cm="1">
        <f t="array" ref="O50">_xll.FDSRC("-",$A$1,"FE_TIMESERIES("&amp;$D50&amp;",MEAN,"&amp;O$6&amp;","&amp;O$6&amp;",FY,'BKRACTMED=1,WIN=0,CURRENCY=USD,UNITS=AUTO,DATE=NOW')")</f>
        <v>-54.603000000000002</v>
      </c>
    </row>
    <row r="51" spans="1:15" x14ac:dyDescent="0.3">
      <c r="A51" s="9" t="s">
        <v>160</v>
      </c>
      <c r="D51" t="s">
        <v>418</v>
      </c>
      <c r="E51" s="56" t="str" cm="1">
        <f t="array" ref="E51">_xll.FDSRC("-",$A$1,"FE_TIMESERIES("&amp;$D51&amp;",MEAN,"&amp;E$6&amp;","&amp;E$6&amp;",FY,'BKRACTMED=1,WIN=0,CURRENCY=USD,UNITS=AUTO,DATE=NOW')")</f>
        <v>-</v>
      </c>
      <c r="F51" s="56" t="str" cm="1">
        <f t="array" ref="F51">_xll.FDSRC("-",$A$1,"FE_TIMESERIES("&amp;$D51&amp;",MEAN,"&amp;F$6&amp;","&amp;F$6&amp;",FY,'BKRACTMED=1,WIN=0,CURRENCY=USD,UNITS=AUTO,DATE=NOW')")</f>
        <v>-</v>
      </c>
      <c r="G51" s="56" t="str" cm="1">
        <f t="array" ref="G51">_xll.FDSRC("-",$A$1,"FE_TIMESERIES("&amp;$D51&amp;",MEAN,"&amp;G$6&amp;","&amp;G$6&amp;",FY,'BKRACTMED=1,WIN=0,CURRENCY=USD,UNITS=AUTO,DATE=NOW')")</f>
        <v>-</v>
      </c>
      <c r="H51" s="56" t="str" cm="1">
        <f t="array" ref="H51">_xll.FDSRC("-",$A$1,"FE_TIMESERIES("&amp;$D51&amp;",MEAN,"&amp;H$6&amp;","&amp;H$6&amp;",FY,'BKRACTMED=1,WIN=0,CURRENCY=USD,UNITS=AUTO,DATE=NOW')")</f>
        <v>-</v>
      </c>
      <c r="I51" s="56" t="str" cm="1">
        <f t="array" ref="I51">_xll.FDSRC("-",$A$1,"FE_TIMESERIES("&amp;$D51&amp;",MEAN,"&amp;I$6&amp;","&amp;I$6&amp;",FY,'BKRACTMED=1,WIN=0,CURRENCY=USD,UNITS=AUTO,DATE=NOW')")</f>
        <v>-</v>
      </c>
      <c r="J51" s="56" t="str" cm="1">
        <f t="array" ref="J51">_xll.FDSRC("-",$A$1,"FE_TIMESERIES("&amp;$D51&amp;",MEAN,"&amp;J$6&amp;","&amp;J$6&amp;",FY,'BKRACTMED=1,WIN=0,CURRENCY=USD,UNITS=AUTO,DATE=NOW')")</f>
        <v>-</v>
      </c>
      <c r="K51" s="56" t="str" cm="1">
        <f t="array" ref="K51">_xll.FDSRC("-",$A$1,"FE_TIMESERIES("&amp;$D51&amp;",MEAN,"&amp;K$6&amp;","&amp;K$6&amp;",FY,'BKRACTMED=1,WIN=0,CURRENCY=USD,UNITS=AUTO,DATE=NOW')")</f>
        <v>-</v>
      </c>
      <c r="L51" s="56" t="str" cm="1">
        <f t="array" ref="L51">_xll.FDSRC("-",$A$1,"FE_TIMESERIES("&amp;$D51&amp;",MEAN,"&amp;L$6&amp;","&amp;L$6&amp;",FY,'BKRACTMED=1,WIN=0,CURRENCY=USD,UNITS=AUTO,DATE=NOW')")</f>
        <v>-</v>
      </c>
      <c r="M51" s="56" t="str" cm="1">
        <f t="array" ref="M51">_xll.FDSRC("-",$A$1,"FE_TIMESERIES("&amp;$D51&amp;",MEAN,"&amp;M$6&amp;","&amp;M$6&amp;",FY,'BKRACTMED=1,WIN=0,CURRENCY=USD,UNITS=AUTO,DATE=NOW')")</f>
        <v>-</v>
      </c>
      <c r="N51" s="56" t="str" cm="1">
        <f t="array" ref="N51">_xll.FDSRC("-",$A$1,"FE_TIMESERIES("&amp;$D51&amp;",MEAN,"&amp;N$6&amp;","&amp;N$6&amp;",FY,'BKRACTMED=1,WIN=0,CURRENCY=USD,UNITS=AUTO,DATE=NOW')")</f>
        <v>-</v>
      </c>
      <c r="O51" s="56" t="str" cm="1">
        <f t="array" ref="O51">_xll.FDSRC("-",$A$1,"FE_TIMESERIES("&amp;$D51&amp;",MEAN,"&amp;O$6&amp;","&amp;O$6&amp;",FY,'BKRACTMED=1,WIN=0,CURRENCY=USD,UNITS=AUTO,DATE=NOW')")</f>
        <v>-</v>
      </c>
    </row>
    <row r="52" spans="1:15" x14ac:dyDescent="0.3">
      <c r="A52" s="9" t="s">
        <v>161</v>
      </c>
      <c r="E52" s="56" t="s">
        <v>262</v>
      </c>
      <c r="F52" s="56" t="s">
        <v>262</v>
      </c>
      <c r="G52" s="56" t="s">
        <v>262</v>
      </c>
      <c r="H52" s="56" t="s">
        <v>262</v>
      </c>
      <c r="I52" s="56" t="s">
        <v>262</v>
      </c>
      <c r="J52" s="56" t="s">
        <v>262</v>
      </c>
      <c r="K52" s="56" t="s">
        <v>262</v>
      </c>
      <c r="L52" s="56" t="s">
        <v>262</v>
      </c>
      <c r="M52" s="56" t="s">
        <v>262</v>
      </c>
      <c r="N52" s="56" t="s">
        <v>262</v>
      </c>
      <c r="O52" s="56" t="s">
        <v>262</v>
      </c>
    </row>
    <row r="53" spans="1:15" x14ac:dyDescent="0.3">
      <c r="A53" s="9" t="s">
        <v>162</v>
      </c>
      <c r="E53" s="56" t="s">
        <v>262</v>
      </c>
      <c r="F53" s="56" t="s">
        <v>262</v>
      </c>
      <c r="G53" s="56" t="s">
        <v>262</v>
      </c>
      <c r="H53" s="56" t="s">
        <v>262</v>
      </c>
      <c r="I53" s="56" t="s">
        <v>262</v>
      </c>
      <c r="J53" s="56" t="s">
        <v>262</v>
      </c>
      <c r="K53" s="56" t="s">
        <v>262</v>
      </c>
      <c r="L53" s="56" t="s">
        <v>262</v>
      </c>
      <c r="M53" s="56" t="s">
        <v>262</v>
      </c>
      <c r="N53" s="56" t="s">
        <v>262</v>
      </c>
      <c r="O53" s="56" t="s">
        <v>262</v>
      </c>
    </row>
    <row r="54" spans="1:15" x14ac:dyDescent="0.3">
      <c r="A54" s="9" t="s">
        <v>163</v>
      </c>
      <c r="E54" s="56" t="s">
        <v>262</v>
      </c>
      <c r="F54" s="56" t="s">
        <v>262</v>
      </c>
      <c r="G54" s="56" t="s">
        <v>262</v>
      </c>
      <c r="H54" s="56" t="s">
        <v>262</v>
      </c>
      <c r="I54" s="56" t="s">
        <v>262</v>
      </c>
      <c r="J54" s="56" t="s">
        <v>262</v>
      </c>
      <c r="K54" s="56" t="s">
        <v>262</v>
      </c>
      <c r="L54" s="56" t="s">
        <v>262</v>
      </c>
      <c r="M54" s="56" t="s">
        <v>262</v>
      </c>
      <c r="N54" s="56" t="s">
        <v>262</v>
      </c>
      <c r="O54" s="56" t="s">
        <v>262</v>
      </c>
    </row>
    <row r="55" spans="1:15" x14ac:dyDescent="0.3">
      <c r="A55" s="9" t="s">
        <v>164</v>
      </c>
      <c r="E55" s="56" t="s">
        <v>262</v>
      </c>
      <c r="F55" s="56" t="s">
        <v>262</v>
      </c>
      <c r="G55" s="56" t="s">
        <v>262</v>
      </c>
      <c r="H55" s="56" t="s">
        <v>262</v>
      </c>
      <c r="I55" s="56" t="s">
        <v>262</v>
      </c>
      <c r="J55" s="56" t="s">
        <v>262</v>
      </c>
      <c r="K55" s="56" t="s">
        <v>262</v>
      </c>
      <c r="L55" s="56" t="s">
        <v>262</v>
      </c>
      <c r="M55" s="56" t="s">
        <v>262</v>
      </c>
      <c r="N55" s="56" t="s">
        <v>262</v>
      </c>
      <c r="O55" s="56" t="s">
        <v>262</v>
      </c>
    </row>
    <row r="56" spans="1:15" x14ac:dyDescent="0.3">
      <c r="A56" s="42" t="s">
        <v>165</v>
      </c>
      <c r="D56" t="s">
        <v>419</v>
      </c>
      <c r="E56" s="60" cm="1">
        <f t="array" ref="E56">_xll.FDSRC("-",$A$1,"FE_TIMESERIES("&amp;$D56&amp;",MEAN,"&amp;E$6&amp;","&amp;E$6&amp;",FY,'BKRACTMED=1,WIN=0,CURRENCY=USD,UNITS=AUTO,DATE=NOW')")</f>
        <v>106.26600000000001</v>
      </c>
      <c r="F56" s="60" t="str" cm="1">
        <f t="array" ref="F56">_xll.FDSRC("-",$A$1,"FE_TIMESERIES("&amp;$D56&amp;",MEAN,"&amp;F$6&amp;","&amp;F$6&amp;",FY,'BKRACTMED=1,WIN=0,CURRENCY=USD,UNITS=AUTO,DATE=NOW')")</f>
        <v>-</v>
      </c>
      <c r="G56" s="60" t="str" cm="1">
        <f t="array" ref="G56">_xll.FDSRC("-",$A$1,"FE_TIMESERIES("&amp;$D56&amp;",MEAN,"&amp;G$6&amp;","&amp;G$6&amp;",FY,'BKRACTMED=1,WIN=0,CURRENCY=USD,UNITS=AUTO,DATE=NOW')")</f>
        <v>-</v>
      </c>
      <c r="H56" s="60" t="str" cm="1">
        <f t="array" ref="H56">_xll.FDSRC("-",$A$1,"FE_TIMESERIES("&amp;$D56&amp;",MEAN,"&amp;H$6&amp;","&amp;H$6&amp;",FY,'BKRACTMED=1,WIN=0,CURRENCY=USD,UNITS=AUTO,DATE=NOW')")</f>
        <v>-</v>
      </c>
      <c r="I56" s="60" t="str" cm="1">
        <f t="array" ref="I56">_xll.FDSRC("-",$A$1,"FE_TIMESERIES("&amp;$D56&amp;",MEAN,"&amp;I$6&amp;","&amp;I$6&amp;",FY,'BKRACTMED=1,WIN=0,CURRENCY=USD,UNITS=AUTO,DATE=NOW')")</f>
        <v>-</v>
      </c>
      <c r="J56" s="60" t="str" cm="1">
        <f t="array" ref="J56">_xll.FDSRC("-",$A$1,"FE_TIMESERIES("&amp;$D56&amp;",MEAN,"&amp;J$6&amp;","&amp;J$6&amp;",FY,'BKRACTMED=1,WIN=0,CURRENCY=USD,UNITS=AUTO,DATE=NOW')")</f>
        <v>-</v>
      </c>
      <c r="K56" s="60" t="str" cm="1">
        <f t="array" ref="K56">_xll.FDSRC("-",$A$1,"FE_TIMESERIES("&amp;$D56&amp;",MEAN,"&amp;K$6&amp;","&amp;K$6&amp;",FY,'BKRACTMED=1,WIN=0,CURRENCY=USD,UNITS=AUTO,DATE=NOW')")</f>
        <v>-</v>
      </c>
      <c r="L56" s="60" t="str" cm="1">
        <f t="array" ref="L56">_xll.FDSRC("-",$A$1,"FE_TIMESERIES("&amp;$D56&amp;",MEAN,"&amp;L$6&amp;","&amp;L$6&amp;",FY,'BKRACTMED=1,WIN=0,CURRENCY=USD,UNITS=AUTO,DATE=NOW')")</f>
        <v>-</v>
      </c>
      <c r="M56" s="60" t="str" cm="1">
        <f t="array" ref="M56">_xll.FDSRC("-",$A$1,"FE_TIMESERIES("&amp;$D56&amp;",MEAN,"&amp;M$6&amp;","&amp;M$6&amp;",FY,'BKRACTMED=1,WIN=0,CURRENCY=USD,UNITS=AUTO,DATE=NOW')")</f>
        <v>-</v>
      </c>
      <c r="N56" s="60" t="str" cm="1">
        <f t="array" ref="N56">_xll.FDSRC("-",$A$1,"FE_TIMESERIES("&amp;$D56&amp;",MEAN,"&amp;N$6&amp;","&amp;N$6&amp;",FY,'BKRACTMED=1,WIN=0,CURRENCY=USD,UNITS=AUTO,DATE=NOW')")</f>
        <v>-</v>
      </c>
      <c r="O56" s="60" t="str" cm="1">
        <f t="array" ref="O56">_xll.FDSRC("-",$A$1,"FE_TIMESERIES("&amp;$D56&amp;",MEAN,"&amp;O$6&amp;","&amp;O$6&amp;",FY,'BKRACTMED=1,WIN=0,CURRENCY=USD,UNITS=AUTO,DATE=NOW')")</f>
        <v>-</v>
      </c>
    </row>
    <row r="57" spans="1:15" x14ac:dyDescent="0.3">
      <c r="A57" s="42"/>
    </row>
    <row r="58" spans="1:15" x14ac:dyDescent="0.3">
      <c r="A58" s="42" t="s">
        <v>167</v>
      </c>
    </row>
    <row r="59" spans="1:15" x14ac:dyDescent="0.3">
      <c r="A59" s="182" t="s">
        <v>168</v>
      </c>
      <c r="D59" t="s">
        <v>169</v>
      </c>
      <c r="E59" s="56" cm="1">
        <f t="array" ref="E59">-_xll.FDSRC("-",$A$1,"FE_TIMESERIES("&amp;$D59&amp;",MEAN,"&amp;E$6&amp;","&amp;E$6&amp;",FY,'BKRACTMED=1,WIN=0,CURRENCY=USD,UNITS=AUTO,DATE=NOW')")</f>
        <v>-1.196</v>
      </c>
      <c r="F59" s="56" t="e" cm="1">
        <f t="array" ref="F59">-_xll.FDSRC("-",$A$1,"FE_TIMESERIES("&amp;$D59&amp;",MEAN,"&amp;F$6&amp;","&amp;F$6&amp;",FY,'BKRACTMED=1,WIN=0,CURRENCY=USD,UNITS=AUTO,DATE=NOW')")</f>
        <v>#VALUE!</v>
      </c>
      <c r="G59" s="56" t="e" cm="1">
        <f t="array" ref="G59">-_xll.FDSRC("-",$A$1,"FE_TIMESERIES("&amp;$D59&amp;",MEAN,"&amp;G$6&amp;","&amp;G$6&amp;",FY,'BKRACTMED=1,WIN=0,CURRENCY=USD,UNITS=AUTO,DATE=NOW')")</f>
        <v>#VALUE!</v>
      </c>
      <c r="H59" s="56" t="e" cm="1">
        <f t="array" ref="H59">-_xll.FDSRC("-",$A$1,"FE_TIMESERIES("&amp;$D59&amp;",MEAN,"&amp;H$6&amp;","&amp;H$6&amp;",FY,'BKRACTMED=1,WIN=0,CURRENCY=USD,UNITS=AUTO,DATE=NOW')")</f>
        <v>#VALUE!</v>
      </c>
      <c r="I59" s="56" t="e" cm="1">
        <f t="array" ref="I59">-_xll.FDSRC("-",$A$1,"FE_TIMESERIES("&amp;$D59&amp;",MEAN,"&amp;I$6&amp;","&amp;I$6&amp;",FY,'BKRACTMED=1,WIN=0,CURRENCY=USD,UNITS=AUTO,DATE=NOW')")</f>
        <v>#VALUE!</v>
      </c>
      <c r="J59" s="56" t="e" cm="1">
        <f t="array" ref="J59">-_xll.FDSRC("-",$A$1,"FE_TIMESERIES("&amp;$D59&amp;",MEAN,"&amp;J$6&amp;","&amp;J$6&amp;",FY,'BKRACTMED=1,WIN=0,CURRENCY=USD,UNITS=AUTO,DATE=NOW')")</f>
        <v>#VALUE!</v>
      </c>
      <c r="K59" s="56" t="e" cm="1">
        <f t="array" ref="K59">-_xll.FDSRC("-",$A$1,"FE_TIMESERIES("&amp;$D59&amp;",MEAN,"&amp;K$6&amp;","&amp;K$6&amp;",FY,'BKRACTMED=1,WIN=0,CURRENCY=USD,UNITS=AUTO,DATE=NOW')")</f>
        <v>#VALUE!</v>
      </c>
      <c r="L59" s="56" t="e" cm="1">
        <f t="array" ref="L59">-_xll.FDSRC("-",$A$1,"FE_TIMESERIES("&amp;$D59&amp;",MEAN,"&amp;L$6&amp;","&amp;L$6&amp;",FY,'BKRACTMED=1,WIN=0,CURRENCY=USD,UNITS=AUTO,DATE=NOW')")</f>
        <v>#VALUE!</v>
      </c>
      <c r="M59" s="56" t="e" cm="1">
        <f t="array" ref="M59">-_xll.FDSRC("-",$A$1,"FE_TIMESERIES("&amp;$D59&amp;",MEAN,"&amp;M$6&amp;","&amp;M$6&amp;",FY,'BKRACTMED=1,WIN=0,CURRENCY=USD,UNITS=AUTO,DATE=NOW')")</f>
        <v>#VALUE!</v>
      </c>
      <c r="N59" s="56" t="e" cm="1">
        <f t="array" ref="N59">-_xll.FDSRC("-",$A$1,"FE_TIMESERIES("&amp;$D59&amp;",MEAN,"&amp;N$6&amp;","&amp;N$6&amp;",FY,'BKRACTMED=1,WIN=0,CURRENCY=USD,UNITS=AUTO,DATE=NOW')")</f>
        <v>#VALUE!</v>
      </c>
      <c r="O59" s="56" t="e" cm="1">
        <f t="array" ref="O59">-_xll.FDSRC("-",$A$1,"FE_TIMESERIES("&amp;$D59&amp;",MEAN,"&amp;O$6&amp;","&amp;O$6&amp;",FY,'BKRACTMED=1,WIN=0,CURRENCY=USD,UNITS=AUTO,DATE=NOW')")</f>
        <v>#VALUE!</v>
      </c>
    </row>
    <row r="60" spans="1:15" x14ac:dyDescent="0.3">
      <c r="A60" s="45" t="s">
        <v>170</v>
      </c>
      <c r="E60" s="56" t="s">
        <v>262</v>
      </c>
      <c r="F60" s="56" t="s">
        <v>262</v>
      </c>
      <c r="G60" s="56" t="s">
        <v>262</v>
      </c>
      <c r="H60" s="56" t="s">
        <v>262</v>
      </c>
      <c r="I60" s="56" t="s">
        <v>262</v>
      </c>
      <c r="J60" s="56" t="s">
        <v>262</v>
      </c>
      <c r="K60" s="56" t="s">
        <v>262</v>
      </c>
      <c r="L60" s="56" t="s">
        <v>262</v>
      </c>
      <c r="M60" s="56" t="s">
        <v>262</v>
      </c>
      <c r="N60" s="56" t="s">
        <v>262</v>
      </c>
      <c r="O60" s="56" t="s">
        <v>262</v>
      </c>
    </row>
    <row r="61" spans="1:15" x14ac:dyDescent="0.3">
      <c r="A61" s="45" t="s">
        <v>171</v>
      </c>
      <c r="E61" s="56" t="s">
        <v>262</v>
      </c>
      <c r="F61" s="56" t="s">
        <v>262</v>
      </c>
      <c r="G61" s="56" t="s">
        <v>262</v>
      </c>
      <c r="H61" s="56" t="s">
        <v>262</v>
      </c>
      <c r="I61" s="56" t="s">
        <v>262</v>
      </c>
      <c r="J61" s="56" t="s">
        <v>262</v>
      </c>
      <c r="K61" s="56" t="s">
        <v>262</v>
      </c>
      <c r="L61" s="56" t="s">
        <v>262</v>
      </c>
      <c r="M61" s="56" t="s">
        <v>262</v>
      </c>
      <c r="N61" s="56" t="s">
        <v>262</v>
      </c>
      <c r="O61" s="56" t="s">
        <v>262</v>
      </c>
    </row>
    <row r="62" spans="1:15" x14ac:dyDescent="0.3">
      <c r="A62" s="46" t="s">
        <v>172</v>
      </c>
      <c r="E62" s="56" t="s">
        <v>262</v>
      </c>
      <c r="F62" s="56" t="s">
        <v>262</v>
      </c>
      <c r="G62" s="56" t="s">
        <v>262</v>
      </c>
      <c r="H62" s="56" t="s">
        <v>262</v>
      </c>
      <c r="I62" s="56" t="s">
        <v>262</v>
      </c>
      <c r="J62" s="56" t="s">
        <v>262</v>
      </c>
      <c r="K62" s="56" t="s">
        <v>262</v>
      </c>
      <c r="L62" s="56" t="s">
        <v>262</v>
      </c>
      <c r="M62" s="56" t="s">
        <v>262</v>
      </c>
      <c r="N62" s="56" t="s">
        <v>262</v>
      </c>
      <c r="O62" s="56" t="s">
        <v>262</v>
      </c>
    </row>
    <row r="63" spans="1:15" x14ac:dyDescent="0.3">
      <c r="A63" s="195" t="s">
        <v>173</v>
      </c>
      <c r="E63" s="56" t="s">
        <v>262</v>
      </c>
      <c r="F63" s="56" t="s">
        <v>262</v>
      </c>
      <c r="G63" s="56" t="s">
        <v>262</v>
      </c>
      <c r="H63" s="56" t="s">
        <v>262</v>
      </c>
      <c r="I63" s="56" t="s">
        <v>262</v>
      </c>
      <c r="J63" s="56" t="s">
        <v>262</v>
      </c>
      <c r="K63" s="56" t="s">
        <v>262</v>
      </c>
      <c r="L63" s="56" t="s">
        <v>262</v>
      </c>
      <c r="M63" s="56" t="s">
        <v>262</v>
      </c>
      <c r="N63" s="56" t="s">
        <v>262</v>
      </c>
      <c r="O63" s="56" t="s">
        <v>262</v>
      </c>
    </row>
    <row r="64" spans="1:15" x14ac:dyDescent="0.3">
      <c r="A64" s="195" t="s">
        <v>174</v>
      </c>
      <c r="E64" s="56" t="s">
        <v>262</v>
      </c>
      <c r="F64" s="56" t="s">
        <v>262</v>
      </c>
      <c r="G64" s="56" t="s">
        <v>262</v>
      </c>
      <c r="H64" s="56" t="s">
        <v>262</v>
      </c>
      <c r="I64" s="56" t="s">
        <v>262</v>
      </c>
      <c r="J64" s="56" t="s">
        <v>262</v>
      </c>
      <c r="K64" s="56" t="s">
        <v>262</v>
      </c>
      <c r="L64" s="56" t="s">
        <v>262</v>
      </c>
      <c r="M64" s="56" t="s">
        <v>262</v>
      </c>
      <c r="N64" s="56" t="s">
        <v>262</v>
      </c>
      <c r="O64" s="56" t="s">
        <v>262</v>
      </c>
    </row>
    <row r="65" spans="1:15" x14ac:dyDescent="0.3">
      <c r="A65" s="46" t="s">
        <v>163</v>
      </c>
      <c r="E65" s="56" t="s">
        <v>262</v>
      </c>
      <c r="F65" s="56" t="s">
        <v>262</v>
      </c>
      <c r="G65" s="56" t="s">
        <v>262</v>
      </c>
      <c r="H65" s="56" t="s">
        <v>262</v>
      </c>
      <c r="I65" s="56" t="s">
        <v>262</v>
      </c>
      <c r="J65" s="56" t="s">
        <v>262</v>
      </c>
      <c r="K65" s="56" t="s">
        <v>262</v>
      </c>
      <c r="L65" s="56" t="s">
        <v>262</v>
      </c>
      <c r="M65" s="56" t="s">
        <v>262</v>
      </c>
      <c r="N65" s="56" t="s">
        <v>262</v>
      </c>
      <c r="O65" s="56" t="s">
        <v>262</v>
      </c>
    </row>
    <row r="66" spans="1:15" x14ac:dyDescent="0.3">
      <c r="A66" s="195" t="s">
        <v>175</v>
      </c>
      <c r="E66" s="56" t="s">
        <v>262</v>
      </c>
      <c r="F66" s="56" t="s">
        <v>262</v>
      </c>
      <c r="G66" s="56" t="s">
        <v>262</v>
      </c>
      <c r="H66" s="56" t="s">
        <v>262</v>
      </c>
      <c r="I66" s="56" t="s">
        <v>262</v>
      </c>
      <c r="J66" s="56" t="s">
        <v>262</v>
      </c>
      <c r="K66" s="56" t="s">
        <v>262</v>
      </c>
      <c r="L66" s="56" t="s">
        <v>262</v>
      </c>
      <c r="M66" s="56" t="s">
        <v>262</v>
      </c>
      <c r="N66" s="56" t="s">
        <v>262</v>
      </c>
      <c r="O66" s="56" t="s">
        <v>262</v>
      </c>
    </row>
    <row r="67" spans="1:15" x14ac:dyDescent="0.3">
      <c r="A67" s="195" t="s">
        <v>176</v>
      </c>
      <c r="E67" s="56" t="s">
        <v>262</v>
      </c>
      <c r="F67" s="56" t="s">
        <v>262</v>
      </c>
      <c r="G67" s="56" t="s">
        <v>262</v>
      </c>
      <c r="H67" s="56" t="s">
        <v>262</v>
      </c>
      <c r="I67" s="56" t="s">
        <v>262</v>
      </c>
      <c r="J67" s="56" t="s">
        <v>262</v>
      </c>
      <c r="K67" s="56" t="s">
        <v>262</v>
      </c>
      <c r="L67" s="56" t="s">
        <v>262</v>
      </c>
      <c r="M67" s="56" t="s">
        <v>262</v>
      </c>
      <c r="N67" s="56" t="s">
        <v>262</v>
      </c>
      <c r="O67" s="56" t="s">
        <v>262</v>
      </c>
    </row>
    <row r="68" spans="1:15" x14ac:dyDescent="0.3">
      <c r="A68" s="42" t="s">
        <v>177</v>
      </c>
      <c r="D68" t="s">
        <v>420</v>
      </c>
      <c r="E68" s="60" cm="1">
        <f t="array" ref="E68">_xll.FDSRC("-",$A$1,"FE_TIMESERIES("&amp;$D68&amp;",MEAN,"&amp;E$6&amp;","&amp;E$6&amp;",FY,'BKRACTMED=1,WIN=0,CURRENCY=USD,UNITS=AUTO,DATE=NOW')")</f>
        <v>-1.2110000000000001</v>
      </c>
      <c r="F68" s="60" t="str" cm="1">
        <f t="array" ref="F68">_xll.FDSRC("-",$A$1,"FE_TIMESERIES("&amp;$D68&amp;",MEAN,"&amp;F$6&amp;","&amp;F$6&amp;",FY,'BKRACTMED=1,WIN=0,CURRENCY=USD,UNITS=AUTO,DATE=NOW')")</f>
        <v>-</v>
      </c>
      <c r="G68" s="60" t="str" cm="1">
        <f t="array" ref="G68">_xll.FDSRC("-",$A$1,"FE_TIMESERIES("&amp;$D68&amp;",MEAN,"&amp;G$6&amp;","&amp;G$6&amp;",FY,'BKRACTMED=1,WIN=0,CURRENCY=USD,UNITS=AUTO,DATE=NOW')")</f>
        <v>-</v>
      </c>
      <c r="H68" s="60" t="str" cm="1">
        <f t="array" ref="H68">_xll.FDSRC("-",$A$1,"FE_TIMESERIES("&amp;$D68&amp;",MEAN,"&amp;H$6&amp;","&amp;H$6&amp;",FY,'BKRACTMED=1,WIN=0,CURRENCY=USD,UNITS=AUTO,DATE=NOW')")</f>
        <v>-</v>
      </c>
      <c r="I68" s="60" t="str" cm="1">
        <f t="array" ref="I68">_xll.FDSRC("-",$A$1,"FE_TIMESERIES("&amp;$D68&amp;",MEAN,"&amp;I$6&amp;","&amp;I$6&amp;",FY,'BKRACTMED=1,WIN=0,CURRENCY=USD,UNITS=AUTO,DATE=NOW')")</f>
        <v>-</v>
      </c>
      <c r="J68" s="60" t="str" cm="1">
        <f t="array" ref="J68">_xll.FDSRC("-",$A$1,"FE_TIMESERIES("&amp;$D68&amp;",MEAN,"&amp;J$6&amp;","&amp;J$6&amp;",FY,'BKRACTMED=1,WIN=0,CURRENCY=USD,UNITS=AUTO,DATE=NOW')")</f>
        <v>-</v>
      </c>
      <c r="K68" s="60" t="str" cm="1">
        <f t="array" ref="K68">_xll.FDSRC("-",$A$1,"FE_TIMESERIES("&amp;$D68&amp;",MEAN,"&amp;K$6&amp;","&amp;K$6&amp;",FY,'BKRACTMED=1,WIN=0,CURRENCY=USD,UNITS=AUTO,DATE=NOW')")</f>
        <v>-</v>
      </c>
      <c r="L68" s="60" t="str" cm="1">
        <f t="array" ref="L68">_xll.FDSRC("-",$A$1,"FE_TIMESERIES("&amp;$D68&amp;",MEAN,"&amp;L$6&amp;","&amp;L$6&amp;",FY,'BKRACTMED=1,WIN=0,CURRENCY=USD,UNITS=AUTO,DATE=NOW')")</f>
        <v>-</v>
      </c>
      <c r="M68" s="60" t="str" cm="1">
        <f t="array" ref="M68">_xll.FDSRC("-",$A$1,"FE_TIMESERIES("&amp;$D68&amp;",MEAN,"&amp;M$6&amp;","&amp;M$6&amp;",FY,'BKRACTMED=1,WIN=0,CURRENCY=USD,UNITS=AUTO,DATE=NOW')")</f>
        <v>-</v>
      </c>
      <c r="N68" s="60" t="str" cm="1">
        <f t="array" ref="N68">_xll.FDSRC("-",$A$1,"FE_TIMESERIES("&amp;$D68&amp;",MEAN,"&amp;N$6&amp;","&amp;N$6&amp;",FY,'BKRACTMED=1,WIN=0,CURRENCY=USD,UNITS=AUTO,DATE=NOW')")</f>
        <v>-</v>
      </c>
      <c r="O68" s="60" t="str" cm="1">
        <f t="array" ref="O68">_xll.FDSRC("-",$A$1,"FE_TIMESERIES("&amp;$D68&amp;",MEAN,"&amp;O$6&amp;","&amp;O$6&amp;",FY,'BKRACTMED=1,WIN=0,CURRENCY=USD,UNITS=AUTO,DATE=NOW')")</f>
        <v>-</v>
      </c>
    </row>
    <row r="69" spans="1:15" x14ac:dyDescent="0.3">
      <c r="A69" s="3"/>
    </row>
    <row r="70" spans="1:15" x14ac:dyDescent="0.3">
      <c r="A70" s="42" t="s">
        <v>183</v>
      </c>
    </row>
    <row r="71" spans="1:15" x14ac:dyDescent="0.3">
      <c r="A71" s="3" t="s">
        <v>184</v>
      </c>
      <c r="E71" s="56" t="s">
        <v>262</v>
      </c>
      <c r="F71" s="56" t="s">
        <v>262</v>
      </c>
      <c r="G71" s="56" t="s">
        <v>262</v>
      </c>
      <c r="H71" s="56" t="s">
        <v>262</v>
      </c>
      <c r="I71" s="56" t="s">
        <v>262</v>
      </c>
      <c r="J71" s="56" t="s">
        <v>262</v>
      </c>
      <c r="K71" s="56" t="s">
        <v>262</v>
      </c>
      <c r="L71" s="56" t="s">
        <v>262</v>
      </c>
      <c r="M71" s="56" t="s">
        <v>262</v>
      </c>
      <c r="N71" s="56" t="s">
        <v>262</v>
      </c>
      <c r="O71" s="56" t="s">
        <v>262</v>
      </c>
    </row>
    <row r="72" spans="1:15" x14ac:dyDescent="0.3">
      <c r="A72" s="3" t="s">
        <v>186</v>
      </c>
      <c r="E72" s="56" t="s">
        <v>262</v>
      </c>
      <c r="F72" s="56" t="s">
        <v>262</v>
      </c>
      <c r="G72" s="56" t="s">
        <v>262</v>
      </c>
      <c r="H72" s="56" t="s">
        <v>262</v>
      </c>
      <c r="I72" s="56" t="s">
        <v>262</v>
      </c>
      <c r="J72" s="56" t="s">
        <v>262</v>
      </c>
      <c r="K72" s="56" t="s">
        <v>262</v>
      </c>
      <c r="L72" s="56" t="s">
        <v>262</v>
      </c>
      <c r="M72" s="56" t="s">
        <v>262</v>
      </c>
      <c r="N72" s="56" t="s">
        <v>262</v>
      </c>
      <c r="O72" s="56" t="s">
        <v>262</v>
      </c>
    </row>
    <row r="73" spans="1:15" x14ac:dyDescent="0.3">
      <c r="A73" s="3" t="s">
        <v>187</v>
      </c>
      <c r="E73" s="56" t="s">
        <v>262</v>
      </c>
      <c r="F73" s="56" t="s">
        <v>262</v>
      </c>
      <c r="G73" s="56" t="s">
        <v>262</v>
      </c>
      <c r="H73" s="56" t="s">
        <v>262</v>
      </c>
      <c r="I73" s="56" t="s">
        <v>262</v>
      </c>
      <c r="J73" s="56" t="s">
        <v>262</v>
      </c>
      <c r="K73" s="56" t="s">
        <v>262</v>
      </c>
      <c r="L73" s="56" t="s">
        <v>262</v>
      </c>
      <c r="M73" s="56" t="s">
        <v>262</v>
      </c>
      <c r="N73" s="56" t="s">
        <v>262</v>
      </c>
      <c r="O73" s="56" t="s">
        <v>262</v>
      </c>
    </row>
    <row r="74" spans="1:15" x14ac:dyDescent="0.3">
      <c r="A74" s="3" t="s">
        <v>163</v>
      </c>
      <c r="E74" s="56" t="s">
        <v>262</v>
      </c>
      <c r="F74" s="56" t="s">
        <v>262</v>
      </c>
      <c r="G74" s="56" t="s">
        <v>262</v>
      </c>
      <c r="H74" s="56" t="s">
        <v>262</v>
      </c>
      <c r="I74" s="56" t="s">
        <v>262</v>
      </c>
      <c r="J74" s="56" t="s">
        <v>262</v>
      </c>
      <c r="K74" s="56" t="s">
        <v>262</v>
      </c>
      <c r="L74" s="56" t="s">
        <v>262</v>
      </c>
      <c r="M74" s="56" t="s">
        <v>262</v>
      </c>
      <c r="N74" s="56" t="s">
        <v>262</v>
      </c>
      <c r="O74" s="56" t="s">
        <v>262</v>
      </c>
    </row>
    <row r="75" spans="1:15" x14ac:dyDescent="0.3">
      <c r="A75" s="42" t="s">
        <v>188</v>
      </c>
      <c r="D75" t="s">
        <v>421</v>
      </c>
      <c r="E75" s="60" cm="1">
        <f t="array" ref="E75">_xll.FDSRC("-",$A$1,"FE_TIMESERIES("&amp;$D75&amp;",MEAN,"&amp;E$6&amp;","&amp;E$6&amp;",FY,'BKRACTMED=1,WIN=0,CURRENCY=USD,UNITS=AUTO,DATE=NOW')")</f>
        <v>24.798999999999999</v>
      </c>
      <c r="F75" s="60" t="str" cm="1">
        <f t="array" ref="F75">_xll.FDSRC("-",$A$1,"FE_TIMESERIES("&amp;$D75&amp;",MEAN,"&amp;F$6&amp;","&amp;F$6&amp;",FY,'BKRACTMED=1,WIN=0,CURRENCY=USD,UNITS=AUTO,DATE=NOW')")</f>
        <v>-</v>
      </c>
      <c r="G75" s="60" t="str" cm="1">
        <f t="array" ref="G75">_xll.FDSRC("-",$A$1,"FE_TIMESERIES("&amp;$D75&amp;",MEAN,"&amp;G$6&amp;","&amp;G$6&amp;",FY,'BKRACTMED=1,WIN=0,CURRENCY=USD,UNITS=AUTO,DATE=NOW')")</f>
        <v>-</v>
      </c>
      <c r="H75" s="60" t="str" cm="1">
        <f t="array" ref="H75">_xll.FDSRC("-",$A$1,"FE_TIMESERIES("&amp;$D75&amp;",MEAN,"&amp;H$6&amp;","&amp;H$6&amp;",FY,'BKRACTMED=1,WIN=0,CURRENCY=USD,UNITS=AUTO,DATE=NOW')")</f>
        <v>-</v>
      </c>
      <c r="I75" s="60" t="str" cm="1">
        <f t="array" ref="I75">_xll.FDSRC("-",$A$1,"FE_TIMESERIES("&amp;$D75&amp;",MEAN,"&amp;I$6&amp;","&amp;I$6&amp;",FY,'BKRACTMED=1,WIN=0,CURRENCY=USD,UNITS=AUTO,DATE=NOW')")</f>
        <v>-</v>
      </c>
      <c r="J75" s="60" t="str" cm="1">
        <f t="array" ref="J75">_xll.FDSRC("-",$A$1,"FE_TIMESERIES("&amp;$D75&amp;",MEAN,"&amp;J$6&amp;","&amp;J$6&amp;",FY,'BKRACTMED=1,WIN=0,CURRENCY=USD,UNITS=AUTO,DATE=NOW')")</f>
        <v>-</v>
      </c>
      <c r="K75" s="60" t="str" cm="1">
        <f t="array" ref="K75">_xll.FDSRC("-",$A$1,"FE_TIMESERIES("&amp;$D75&amp;",MEAN,"&amp;K$6&amp;","&amp;K$6&amp;",FY,'BKRACTMED=1,WIN=0,CURRENCY=USD,UNITS=AUTO,DATE=NOW')")</f>
        <v>-</v>
      </c>
      <c r="L75" s="60" t="str" cm="1">
        <f t="array" ref="L75">_xll.FDSRC("-",$A$1,"FE_TIMESERIES("&amp;$D75&amp;",MEAN,"&amp;L$6&amp;","&amp;L$6&amp;",FY,'BKRACTMED=1,WIN=0,CURRENCY=USD,UNITS=AUTO,DATE=NOW')")</f>
        <v>-</v>
      </c>
      <c r="M75" s="60" t="str" cm="1">
        <f t="array" ref="M75">_xll.FDSRC("-",$A$1,"FE_TIMESERIES("&amp;$D75&amp;",MEAN,"&amp;M$6&amp;","&amp;M$6&amp;",FY,'BKRACTMED=1,WIN=0,CURRENCY=USD,UNITS=AUTO,DATE=NOW')")</f>
        <v>-</v>
      </c>
      <c r="N75" s="60" t="str" cm="1">
        <f t="array" ref="N75">_xll.FDSRC("-",$A$1,"FE_TIMESERIES("&amp;$D75&amp;",MEAN,"&amp;N$6&amp;","&amp;N$6&amp;",FY,'BKRACTMED=1,WIN=0,CURRENCY=USD,UNITS=AUTO,DATE=NOW')")</f>
        <v>-</v>
      </c>
      <c r="O75" s="60" t="str" cm="1">
        <f t="array" ref="O75">_xll.FDSRC("-",$A$1,"FE_TIMESERIES("&amp;$D75&amp;",MEAN,"&amp;O$6&amp;","&amp;O$6&amp;",FY,'BKRACTMED=1,WIN=0,CURRENCY=USD,UNITS=AUTO,DATE=NOW')")</f>
        <v>-</v>
      </c>
    </row>
    <row r="76" spans="1:15" x14ac:dyDescent="0.3">
      <c r="A76" s="3"/>
    </row>
    <row r="77" spans="1:15" x14ac:dyDescent="0.3">
      <c r="A77" s="42" t="s">
        <v>190</v>
      </c>
    </row>
    <row r="78" spans="1:15" x14ac:dyDescent="0.3">
      <c r="A78" s="3" t="s">
        <v>191</v>
      </c>
      <c r="E78" s="56" t="s">
        <v>262</v>
      </c>
      <c r="F78" s="56" t="s">
        <v>262</v>
      </c>
      <c r="G78" s="56" t="s">
        <v>262</v>
      </c>
      <c r="H78" s="56" t="s">
        <v>262</v>
      </c>
      <c r="I78" s="56" t="s">
        <v>262</v>
      </c>
      <c r="J78" s="56" t="s">
        <v>262</v>
      </c>
      <c r="K78" s="56" t="s">
        <v>262</v>
      </c>
      <c r="L78" s="56" t="s">
        <v>262</v>
      </c>
      <c r="M78" s="56" t="s">
        <v>262</v>
      </c>
      <c r="N78" s="56" t="s">
        <v>262</v>
      </c>
      <c r="O78" s="56" t="s">
        <v>262</v>
      </c>
    </row>
    <row r="79" spans="1:15" x14ac:dyDescent="0.3">
      <c r="A79" s="3" t="s">
        <v>192</v>
      </c>
      <c r="E79" s="56" t="s">
        <v>262</v>
      </c>
      <c r="F79" s="56" t="s">
        <v>262</v>
      </c>
      <c r="G79" s="56" t="s">
        <v>262</v>
      </c>
      <c r="H79" s="56" t="s">
        <v>262</v>
      </c>
      <c r="I79" s="56" t="s">
        <v>262</v>
      </c>
      <c r="J79" s="56" t="s">
        <v>262</v>
      </c>
      <c r="K79" s="56" t="s">
        <v>262</v>
      </c>
      <c r="L79" s="56" t="s">
        <v>262</v>
      </c>
      <c r="M79" s="56" t="s">
        <v>262</v>
      </c>
      <c r="N79" s="56" t="s">
        <v>262</v>
      </c>
      <c r="O79" s="56" t="s">
        <v>262</v>
      </c>
    </row>
    <row r="80" spans="1:15" x14ac:dyDescent="0.3">
      <c r="A80" s="3" t="s">
        <v>193</v>
      </c>
      <c r="D80" t="s">
        <v>194</v>
      </c>
      <c r="E80" s="56" t="str" cm="1">
        <f t="array" ref="E80">_xll.FDSRC("-",$A$1,"FE_TIMESERIES("&amp;$D80&amp;",MEAN,"&amp;E$6&amp;","&amp;E$6&amp;",FY,'BKRACTMED=1,WIN=0,CURRENCY=USD,UNITS=AUTO,DATE=NOW')")</f>
        <v>-</v>
      </c>
      <c r="F80" s="56" t="str" cm="1">
        <f t="array" ref="F80">_xll.FDSRC("-",$A$1,"FE_TIMESERIES("&amp;$D80&amp;",MEAN,"&amp;F$6&amp;","&amp;F$6&amp;",FY,'BKRACTMED=1,WIN=0,CURRENCY=USD,UNITS=AUTO,DATE=NOW')")</f>
        <v>-</v>
      </c>
      <c r="G80" s="56" t="str" cm="1">
        <f t="array" ref="G80">_xll.FDSRC("-",$A$1,"FE_TIMESERIES("&amp;$D80&amp;",MEAN,"&amp;G$6&amp;","&amp;G$6&amp;",FY,'BKRACTMED=1,WIN=0,CURRENCY=USD,UNITS=AUTO,DATE=NOW')")</f>
        <v>-</v>
      </c>
      <c r="H80" s="56" t="str" cm="1">
        <f t="array" ref="H80">_xll.FDSRC("-",$A$1,"FE_TIMESERIES("&amp;$D80&amp;",MEAN,"&amp;H$6&amp;","&amp;H$6&amp;",FY,'BKRACTMED=1,WIN=0,CURRENCY=USD,UNITS=AUTO,DATE=NOW')")</f>
        <v>-</v>
      </c>
      <c r="I80" s="56" t="str" cm="1">
        <f t="array" ref="I80">_xll.FDSRC("-",$A$1,"FE_TIMESERIES("&amp;$D80&amp;",MEAN,"&amp;I$6&amp;","&amp;I$6&amp;",FY,'BKRACTMED=1,WIN=0,CURRENCY=USD,UNITS=AUTO,DATE=NOW')")</f>
        <v>-</v>
      </c>
      <c r="J80" s="56" t="str" cm="1">
        <f t="array" ref="J80">_xll.FDSRC("-",$A$1,"FE_TIMESERIES("&amp;$D80&amp;",MEAN,"&amp;J$6&amp;","&amp;J$6&amp;",FY,'BKRACTMED=1,WIN=0,CURRENCY=USD,UNITS=AUTO,DATE=NOW')")</f>
        <v>-</v>
      </c>
      <c r="K80" s="56" t="str" cm="1">
        <f t="array" ref="K80">_xll.FDSRC("-",$A$1,"FE_TIMESERIES("&amp;$D80&amp;",MEAN,"&amp;K$6&amp;","&amp;K$6&amp;",FY,'BKRACTMED=1,WIN=0,CURRENCY=USD,UNITS=AUTO,DATE=NOW')")</f>
        <v>-</v>
      </c>
      <c r="L80" s="56" t="str" cm="1">
        <f t="array" ref="L80">_xll.FDSRC("-",$A$1,"FE_TIMESERIES("&amp;$D80&amp;",MEAN,"&amp;L$6&amp;","&amp;L$6&amp;",FY,'BKRACTMED=1,WIN=0,CURRENCY=USD,UNITS=AUTO,DATE=NOW')")</f>
        <v>-</v>
      </c>
      <c r="M80" s="56" t="str" cm="1">
        <f t="array" ref="M80">_xll.FDSRC("-",$A$1,"FE_TIMESERIES("&amp;$D80&amp;",MEAN,"&amp;M$6&amp;","&amp;M$6&amp;",FY,'BKRACTMED=1,WIN=0,CURRENCY=USD,UNITS=AUTO,DATE=NOW')")</f>
        <v>-</v>
      </c>
      <c r="N80" s="56" t="str" cm="1">
        <f t="array" ref="N80">_xll.FDSRC("-",$A$1,"FE_TIMESERIES("&amp;$D80&amp;",MEAN,"&amp;N$6&amp;","&amp;N$6&amp;",FY,'BKRACTMED=1,WIN=0,CURRENCY=USD,UNITS=AUTO,DATE=NOW')")</f>
        <v>-</v>
      </c>
      <c r="O80" s="56" t="str" cm="1">
        <f t="array" ref="O80">_xll.FDSRC("-",$A$1,"FE_TIMESERIES("&amp;$D80&amp;",MEAN,"&amp;O$6&amp;","&amp;O$6&amp;",FY,'BKRACTMED=1,WIN=0,CURRENCY=USD,UNITS=AUTO,DATE=NOW')")</f>
        <v>-</v>
      </c>
    </row>
    <row r="81" spans="1:15" x14ac:dyDescent="0.3">
      <c r="A81" s="3" t="s">
        <v>195</v>
      </c>
      <c r="E81" s="56" t="s">
        <v>262</v>
      </c>
      <c r="F81" s="56" t="s">
        <v>262</v>
      </c>
      <c r="G81" s="56" t="s">
        <v>262</v>
      </c>
      <c r="H81" s="56" t="s">
        <v>262</v>
      </c>
      <c r="I81" s="56" t="s">
        <v>262</v>
      </c>
      <c r="J81" s="56" t="s">
        <v>262</v>
      </c>
      <c r="K81" s="56" t="s">
        <v>262</v>
      </c>
      <c r="L81" s="56" t="s">
        <v>262</v>
      </c>
      <c r="M81" s="56" t="s">
        <v>262</v>
      </c>
      <c r="N81" s="56" t="s">
        <v>262</v>
      </c>
      <c r="O81" s="56" t="s">
        <v>262</v>
      </c>
    </row>
    <row r="82" spans="1:15" x14ac:dyDescent="0.3">
      <c r="A82" s="3" t="s">
        <v>196</v>
      </c>
      <c r="E82" s="56" t="s">
        <v>262</v>
      </c>
      <c r="F82" s="56" t="s">
        <v>262</v>
      </c>
      <c r="G82" s="56" t="s">
        <v>262</v>
      </c>
      <c r="H82" s="56" t="s">
        <v>262</v>
      </c>
      <c r="I82" s="56" t="s">
        <v>262</v>
      </c>
      <c r="J82" s="56" t="s">
        <v>262</v>
      </c>
      <c r="K82" s="56" t="s">
        <v>262</v>
      </c>
      <c r="L82" s="56" t="s">
        <v>262</v>
      </c>
      <c r="M82" s="56" t="s">
        <v>262</v>
      </c>
      <c r="N82" s="56" t="s">
        <v>262</v>
      </c>
      <c r="O82" s="56" t="s">
        <v>262</v>
      </c>
    </row>
  </sheetData>
  <pageMargins left="0.7" right="0.7" top="0.75" bottom="0.75" header="0.3" footer="0.3"/>
  <legacy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0FC769-802D-4F77-8C79-AE4DA82BC0AA}">
  <sheetPr>
    <tabColor theme="7"/>
  </sheetPr>
  <dimension ref="A1"/>
  <sheetViews>
    <sheetView workbookViewId="0"/>
  </sheetViews>
  <sheetFormatPr defaultColWidth="9" defaultRowHeight="16.5" x14ac:dyDescent="0.3"/>
  <sheetData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751939-B642-48ED-BCBE-DE43DEB1262F}">
  <dimension ref="A1:H15"/>
  <sheetViews>
    <sheetView workbookViewId="0"/>
  </sheetViews>
  <sheetFormatPr defaultColWidth="9" defaultRowHeight="16.5" x14ac:dyDescent="0.3"/>
  <cols>
    <col min="1" max="1" width="17.140625" style="1" customWidth="1"/>
    <col min="2" max="2" width="11.42578125" style="1" customWidth="1"/>
    <col min="3" max="3" width="14.5703125" style="1" customWidth="1"/>
    <col min="4" max="6" width="7.140625" style="1" customWidth="1"/>
    <col min="7" max="7" width="21.140625" style="1" customWidth="1"/>
    <col min="8" max="8" width="8" style="1" customWidth="1"/>
    <col min="9" max="16384" width="9" style="1"/>
  </cols>
  <sheetData>
    <row r="1" spans="1:8" ht="41.1" customHeight="1" x14ac:dyDescent="0.3">
      <c r="A1" s="366" t="s">
        <v>21</v>
      </c>
      <c r="B1" s="367" t="s">
        <v>594</v>
      </c>
    </row>
    <row r="2" spans="1:8" x14ac:dyDescent="0.3">
      <c r="A2" s="425" t="s">
        <v>595</v>
      </c>
      <c r="B2" s="426" t="str" cm="1">
        <f t="array" ref="B2">_xll.FDS(B3,"FG_COMPANY_NAME")</f>
        <v>HCI Group, Inc.</v>
      </c>
      <c r="C2" s="427"/>
      <c r="D2" s="428" t="s">
        <v>596</v>
      </c>
      <c r="E2" s="428" t="s">
        <v>597</v>
      </c>
      <c r="F2" s="428" t="s">
        <v>743</v>
      </c>
      <c r="G2" s="425"/>
      <c r="H2" s="425"/>
    </row>
    <row r="3" spans="1:8" x14ac:dyDescent="0.3">
      <c r="A3" s="425" t="s">
        <v>598</v>
      </c>
      <c r="B3" s="429" t="str">
        <f>A1</f>
        <v>HCI</v>
      </c>
      <c r="C3" s="425" t="s">
        <v>599</v>
      </c>
      <c r="D3" s="430">
        <f>'API - BASE'!M45</f>
        <v>551.91714400000001</v>
      </c>
      <c r="E3" s="430">
        <f>'API - BASE'!N45</f>
        <v>713.09531048000008</v>
      </c>
      <c r="F3" s="430">
        <f>'API - BASE'!O45</f>
        <v>715.86682872480014</v>
      </c>
      <c r="G3" s="425" t="s">
        <v>600</v>
      </c>
      <c r="H3" s="431" cm="1">
        <f t="array" ref="H3">_xll.FDS(B3,"FF_ROA(ANN_R,0)")/100</f>
        <v>-5.0678849672600904E-2</v>
      </c>
    </row>
    <row r="4" spans="1:8" x14ac:dyDescent="0.3">
      <c r="A4" s="425" t="s">
        <v>601</v>
      </c>
      <c r="B4" s="432" cm="1">
        <f t="array" ref="B4">_xll.FDS(B3,"P_PRICE(0)")</f>
        <v>54.11</v>
      </c>
      <c r="C4" s="425" t="s">
        <v>602</v>
      </c>
      <c r="D4" s="433" cm="1">
        <f t="array" ref="D4">_xll.FDS(B3,"FE_ESTIMATE(SALES,MEAN,ANN_ROLL,+1,NOW,,,'')")</f>
        <v>506.42232999999999</v>
      </c>
      <c r="E4" s="433" cm="1">
        <f t="array" ref="E4">_xll.FDS(B3,"FE_ESTIMATE(SALES,MEAN,ANN_ROLL,+2,NOW,,,'')")</f>
        <v>557.40700000000004</v>
      </c>
      <c r="F4" s="433" t="s">
        <v>626</v>
      </c>
      <c r="G4" s="425" t="s">
        <v>423</v>
      </c>
      <c r="H4" s="434" cm="1">
        <f t="array" ref="H4">_xll.FDS(B3,"FF_ROE(ANN_R,0)")/100</f>
        <v>-0.226553159615689</v>
      </c>
    </row>
    <row r="5" spans="1:8" x14ac:dyDescent="0.3">
      <c r="A5" s="425" t="s">
        <v>603</v>
      </c>
      <c r="B5" s="432">
        <f>'How Do You Differ'!C26</f>
        <v>68.619234693039886</v>
      </c>
      <c r="C5" s="425" t="s">
        <v>604</v>
      </c>
      <c r="D5" s="431">
        <f>D3/D4-1</f>
        <v>8.9835718736968051E-2</v>
      </c>
      <c r="E5" s="431">
        <f t="shared" ref="E5" si="0">E3/E4-1</f>
        <v>0.27930813656807318</v>
      </c>
      <c r="F5" s="434" t="s">
        <v>262</v>
      </c>
      <c r="G5" s="425" t="s">
        <v>605</v>
      </c>
      <c r="H5" s="431" cm="1">
        <f t="array" ref="H5">_xll.FDS(B3,"FF_ROIC(ANN_R,0)")/100</f>
        <v>-0.14534854553759799</v>
      </c>
    </row>
    <row r="6" spans="1:8" x14ac:dyDescent="0.3">
      <c r="A6" s="425" t="s">
        <v>606</v>
      </c>
      <c r="B6" s="434">
        <f>B5/B4-1</f>
        <v>0.26814331349177389</v>
      </c>
      <c r="C6" s="425" t="s">
        <v>607</v>
      </c>
      <c r="D6" s="431"/>
      <c r="E6" s="431">
        <f>E3/D3-1</f>
        <v>0.29203326664554585</v>
      </c>
      <c r="F6" s="431">
        <f>F3/E3-1</f>
        <v>3.8866028202240166E-3</v>
      </c>
      <c r="G6" s="425" t="s">
        <v>608</v>
      </c>
      <c r="H6" s="431">
        <f>'API - BASE'!N46</f>
        <v>0.29203326664554585</v>
      </c>
    </row>
    <row r="7" spans="1:8" x14ac:dyDescent="0.3">
      <c r="A7" s="425" t="s">
        <v>609</v>
      </c>
      <c r="B7" s="435" cm="1">
        <f t="array" ref="B7">_xll.FDS(B3,"FF_PRICE_LOW_52WK")</f>
        <v>27.65</v>
      </c>
      <c r="C7" s="425" t="s">
        <v>610</v>
      </c>
      <c r="D7" s="430">
        <f>'API - BASE'!M107</f>
        <v>55.492481727999973</v>
      </c>
      <c r="E7" s="430">
        <f>'API - BASE'!N107</f>
        <v>60.003514555519928</v>
      </c>
      <c r="F7" s="430">
        <f>'API - BASE'!O107</f>
        <v>59.475058786367981</v>
      </c>
      <c r="G7" s="425" t="s">
        <v>611</v>
      </c>
      <c r="H7" s="431">
        <f>'API - BASE'!N138</f>
        <v>0.16291978721063072</v>
      </c>
    </row>
    <row r="8" spans="1:8" x14ac:dyDescent="0.3">
      <c r="A8" s="425" t="s">
        <v>612</v>
      </c>
      <c r="B8" s="435" cm="1">
        <f t="array" ref="B8">_xll.FDS(B3,"FF_PRICE_HIGH_52WK")</f>
        <v>70</v>
      </c>
      <c r="C8" s="425" t="s">
        <v>613</v>
      </c>
      <c r="D8" s="433" t="s">
        <v>626</v>
      </c>
      <c r="E8" s="433" t="s">
        <v>626</v>
      </c>
      <c r="F8" s="433" t="s">
        <v>626</v>
      </c>
      <c r="G8" s="425" t="s">
        <v>614</v>
      </c>
      <c r="H8" s="431" cm="1">
        <f t="array" ref="H8">_xll.FDS(B3,"FF_INSID_PCT_CURR")</f>
        <v>0.30173299999999997</v>
      </c>
    </row>
    <row r="9" spans="1:8" x14ac:dyDescent="0.3">
      <c r="A9" s="425" t="s">
        <v>615</v>
      </c>
      <c r="B9" s="436" cm="1">
        <f t="array" ref="B9">_xll.FDS(B3,"FREF_MARKET_VALUE_COMPANY(0,,,,,0,,""LEGACY"")")</f>
        <v>464.88004793022998</v>
      </c>
      <c r="C9" s="425" t="s">
        <v>604</v>
      </c>
      <c r="D9" s="433" t="s">
        <v>262</v>
      </c>
      <c r="E9" s="433" t="s">
        <v>262</v>
      </c>
      <c r="F9" s="433" t="s">
        <v>262</v>
      </c>
      <c r="G9" s="425" t="s">
        <v>616</v>
      </c>
      <c r="H9" s="431" cm="1">
        <f t="array" ref="H9">_xll.FDS(B3,"OS_SEC_SI_PCTFLT(0D)")/100</f>
        <v>0.201372071160279</v>
      </c>
    </row>
    <row r="10" spans="1:8" x14ac:dyDescent="0.3">
      <c r="A10" s="425" t="s">
        <v>617</v>
      </c>
      <c r="B10" s="436" cm="1">
        <f t="array" ref="B10">_xll.FDS(B3,"FF_ENTRPR_VAL_DAILY(0,,,,,""DIL"")")</f>
        <v>598.94331</v>
      </c>
      <c r="C10" s="425" t="s">
        <v>607</v>
      </c>
      <c r="D10" s="431"/>
      <c r="E10" s="431">
        <f>E7/D7-1</f>
        <v>8.1290882783564777E-2</v>
      </c>
      <c r="F10" s="431">
        <f>F7/E7-1</f>
        <v>-8.8070802696561534E-3</v>
      </c>
      <c r="G10" s="425" t="s">
        <v>618</v>
      </c>
      <c r="H10" s="429" t="s">
        <v>626</v>
      </c>
    </row>
    <row r="11" spans="1:8" x14ac:dyDescent="0.3">
      <c r="A11" s="425" t="s">
        <v>474</v>
      </c>
      <c r="B11" s="434" cm="1">
        <f t="array" ref="B11">_xll.FDS(B3,"P_DIV_YLD")/100</f>
        <v>2.9569394999999998E-2</v>
      </c>
      <c r="C11" s="425" t="s">
        <v>619</v>
      </c>
      <c r="D11" s="437">
        <f>'API - BASE'!M137</f>
        <v>3.6573223271272703</v>
      </c>
      <c r="E11" s="437">
        <f>'API - BASE'!N137</f>
        <v>4.2531725024235341</v>
      </c>
      <c r="F11" s="437">
        <f>'API - BASE'!O137</f>
        <v>4.4292492444084077</v>
      </c>
      <c r="G11" s="425" t="s">
        <v>620</v>
      </c>
      <c r="H11" s="425"/>
    </row>
    <row r="12" spans="1:8" x14ac:dyDescent="0.3">
      <c r="A12" s="425" t="s">
        <v>621</v>
      </c>
      <c r="B12" s="438">
        <v>0.89</v>
      </c>
      <c r="C12" s="425" t="s">
        <v>622</v>
      </c>
      <c r="D12" s="437">
        <v>3.64</v>
      </c>
      <c r="E12" s="437">
        <f>'How Do You Differ'!B7</f>
        <v>3.8345356000000002</v>
      </c>
      <c r="F12" s="437">
        <f>'How Do You Differ'!B13</f>
        <v>1.9868692999999999</v>
      </c>
      <c r="G12" s="425" t="s">
        <v>627</v>
      </c>
      <c r="H12" s="437">
        <f>'API - BASE'!O13</f>
        <v>3946.5453673704292</v>
      </c>
    </row>
    <row r="13" spans="1:8" x14ac:dyDescent="0.3">
      <c r="A13" s="425" t="s">
        <v>623</v>
      </c>
      <c r="B13" s="434">
        <v>7.0000000000000007E-2</v>
      </c>
      <c r="C13" s="425" t="s">
        <v>604</v>
      </c>
      <c r="D13" s="431">
        <f>D11/D12-1</f>
        <v>4.7588810789203073E-3</v>
      </c>
      <c r="E13" s="431">
        <f t="shared" ref="E13:F13" si="1">E11/E12-1</f>
        <v>0.1091753855208788</v>
      </c>
      <c r="F13" s="431">
        <f t="shared" si="1"/>
        <v>1.2292604976122021</v>
      </c>
      <c r="G13" s="425" t="s">
        <v>225</v>
      </c>
      <c r="H13" s="431">
        <f>'API - BASE'!O91</f>
        <v>0.56999999999999995</v>
      </c>
    </row>
    <row r="14" spans="1:8" x14ac:dyDescent="0.3">
      <c r="A14" s="425" t="s">
        <v>624</v>
      </c>
      <c r="B14" s="434" t="s">
        <v>720</v>
      </c>
      <c r="C14" s="425" t="s">
        <v>607</v>
      </c>
      <c r="D14" s="431"/>
      <c r="E14" s="431">
        <f>E11/D11-1</f>
        <v>0.16291978721063072</v>
      </c>
      <c r="F14" s="431">
        <f>F11/E11-1</f>
        <v>4.1398918544813812E-2</v>
      </c>
      <c r="G14" s="425" t="s">
        <v>107</v>
      </c>
      <c r="H14" s="431">
        <f>'API - BASE'!O93</f>
        <v>0.96499999999999986</v>
      </c>
    </row>
    <row r="15" spans="1:8" x14ac:dyDescent="0.3">
      <c r="A15" s="425" t="s">
        <v>625</v>
      </c>
      <c r="B15" s="425"/>
      <c r="C15" s="425"/>
      <c r="D15" s="425"/>
      <c r="E15" s="425"/>
      <c r="F15" s="425"/>
      <c r="G15" s="425"/>
      <c r="H15" s="425"/>
    </row>
  </sheetData>
  <pageMargins left="0.7" right="0.7" top="0.75" bottom="0.75" header="0.3" footer="0.3"/>
  <pageSetup orientation="portrait" verticalDpi="0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AC32FF-2013-4D54-AF49-30524005DAB8}">
  <dimension ref="A1:H30"/>
  <sheetViews>
    <sheetView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C5" sqref="C5"/>
    </sheetView>
  </sheetViews>
  <sheetFormatPr defaultColWidth="9" defaultRowHeight="16.5" outlineLevelCol="1" x14ac:dyDescent="0.3"/>
  <cols>
    <col min="1" max="1" width="73.85546875" style="368" customWidth="1"/>
    <col min="2" max="2" width="10.140625" hidden="1" customWidth="1" outlineLevel="1"/>
    <col min="3" max="3" width="13.140625" bestFit="1" customWidth="1" collapsed="1"/>
    <col min="4" max="4" width="13.140625" customWidth="1"/>
    <col min="5" max="5" width="13.140625" bestFit="1" customWidth="1"/>
    <col min="6" max="6" width="11.42578125" style="371" customWidth="1"/>
    <col min="7" max="7" width="34.42578125" style="372" customWidth="1"/>
  </cols>
  <sheetData>
    <row r="1" spans="1:8" x14ac:dyDescent="0.3">
      <c r="B1" s="369" t="s">
        <v>628</v>
      </c>
      <c r="C1" s="370" t="s">
        <v>21</v>
      </c>
      <c r="D1" t="str" cm="1">
        <f t="array" ref="D1">_xll.FDS(C1,"FG_COMPANY_NAME")</f>
        <v>HCI Group, Inc.</v>
      </c>
    </row>
    <row r="2" spans="1:8" x14ac:dyDescent="0.3">
      <c r="B2" s="369" t="s">
        <v>629</v>
      </c>
      <c r="C2" s="370" t="s">
        <v>741</v>
      </c>
      <c r="D2" t="str" cm="1">
        <f t="array" ref="D2">_xll.FDS(C2,"FG_NAME_IDX")</f>
        <v>S&amp;P 500</v>
      </c>
      <c r="H2" s="370"/>
    </row>
    <row r="3" spans="1:8" x14ac:dyDescent="0.3">
      <c r="A3" s="373" t="s">
        <v>630</v>
      </c>
      <c r="B3" s="374"/>
      <c r="C3" s="374"/>
    </row>
    <row r="4" spans="1:8" s="1" customFormat="1" ht="66" x14ac:dyDescent="0.3">
      <c r="A4" s="375" t="s">
        <v>744</v>
      </c>
      <c r="B4" s="376" t="s">
        <v>21</v>
      </c>
      <c r="C4" s="377" t="str">
        <f>$C$1&amp;" Base-Case Scenario"</f>
        <v>HCI Base-Case Scenario</v>
      </c>
      <c r="D4" s="378" t="str">
        <f>$C$1&amp;" Upside-Case Scenario"</f>
        <v>HCI Upside-Case Scenario</v>
      </c>
      <c r="E4" s="379" t="str">
        <f>$C$1&amp;" Downside-Case Scenario"</f>
        <v>HCI Downside-Case Scenario</v>
      </c>
      <c r="F4" s="380" t="s">
        <v>631</v>
      </c>
      <c r="G4" s="381" t="s">
        <v>632</v>
      </c>
    </row>
    <row r="5" spans="1:8" x14ac:dyDescent="0.3">
      <c r="A5" s="382" t="s">
        <v>633</v>
      </c>
      <c r="B5" s="358"/>
      <c r="C5" s="383"/>
      <c r="D5" s="384"/>
      <c r="E5" s="385"/>
    </row>
    <row r="6" spans="1:8" x14ac:dyDescent="0.3">
      <c r="A6" s="446" t="s">
        <v>634</v>
      </c>
      <c r="B6" s="358" cm="1">
        <f t="array" ref="B6">_xll.FDS(B4,"P_PRICE(0)")</f>
        <v>54.11</v>
      </c>
      <c r="C6" s="383" cm="1">
        <f t="array" ref="C6">_xll.FDS($C$1,"P_PRICE(0)")</f>
        <v>54.11</v>
      </c>
      <c r="D6" s="384" cm="1">
        <f t="array" ref="D6">_xll.FDS($C$1,"P_PRICE(0)")</f>
        <v>54.11</v>
      </c>
      <c r="E6" s="385" cm="1">
        <f t="array" ref="E6">_xll.FDS($C$1,"P_PRICE(0)")</f>
        <v>54.11</v>
      </c>
      <c r="F6" s="371" t="s">
        <v>635</v>
      </c>
      <c r="G6" s="372" t="s">
        <v>636</v>
      </c>
    </row>
    <row r="7" spans="1:8" x14ac:dyDescent="0.3">
      <c r="A7" s="446" t="s">
        <v>637</v>
      </c>
      <c r="B7" s="358" cm="1">
        <f t="array" ref="B7">_xll.FDS(B4&amp;"-US","FE_ESTIMATE(EPS,MEAN,NTMA,,NOW,,,'')")</f>
        <v>3.8345356000000002</v>
      </c>
      <c r="C7" s="383" cm="1">
        <f t="array" ref="C7">_xll.FDS($C$1,"FE_ESTIMATE(EPS,MEAN,NTMA,,NOW,,,'')")</f>
        <v>3.8345356000000002</v>
      </c>
      <c r="D7" s="384" cm="1">
        <f t="array" ref="D7">_xll.FDS($C$1,"FE_ESTIMATE(EPS,MEAN,NTMA,,NOW,,,'')")</f>
        <v>3.8345356000000002</v>
      </c>
      <c r="E7" s="385" cm="1">
        <f t="array" ref="E7">_xll.FDS($C$1,"FE_ESTIMATE(EPS,MEAN,NTMA,,NOW,,,'')")</f>
        <v>3.8345356000000002</v>
      </c>
      <c r="F7" s="371" t="s">
        <v>638</v>
      </c>
      <c r="G7" s="372" t="s">
        <v>636</v>
      </c>
    </row>
    <row r="8" spans="1:8" x14ac:dyDescent="0.3">
      <c r="A8" s="446" t="s">
        <v>639</v>
      </c>
      <c r="B8" s="363">
        <f>B6/B7</f>
        <v>14.111226402487956</v>
      </c>
      <c r="C8" s="386">
        <f>C6/C7</f>
        <v>14.111226402487956</v>
      </c>
      <c r="D8" s="387">
        <f t="shared" ref="D8:E8" si="0">D6/D7</f>
        <v>14.111226402487956</v>
      </c>
      <c r="E8" s="388">
        <f t="shared" si="0"/>
        <v>14.111226402487956</v>
      </c>
      <c r="F8" s="371" t="s">
        <v>640</v>
      </c>
      <c r="G8" s="372" t="s">
        <v>641</v>
      </c>
    </row>
    <row r="9" spans="1:8" x14ac:dyDescent="0.3">
      <c r="A9" s="446" t="s">
        <v>642</v>
      </c>
      <c r="B9" s="389" cm="1">
        <f t="array" ref="B9">_xll.FDS($C$2,"FG_PE_NTM(0,,,90,0)")</f>
        <v>17.807235313024901</v>
      </c>
      <c r="C9" s="390" cm="1">
        <f t="array" ref="C9">_xll.FDS($C$2,"FG_PE_NTM(0,,,90,0)")</f>
        <v>17.807235313024901</v>
      </c>
      <c r="D9" s="391" cm="1">
        <f t="array" ref="D9">_xll.FDS($C$2,"FG_PE_NTM(0,,,90,0)")</f>
        <v>17.807235313024901</v>
      </c>
      <c r="E9" s="392" cm="1">
        <f t="array" ref="E9">_xll.FDS($C$2,"FG_PE_NTM(0,,,90,0)")</f>
        <v>17.807235313024901</v>
      </c>
      <c r="F9" s="371" t="s">
        <v>643</v>
      </c>
      <c r="G9" s="372" t="s">
        <v>636</v>
      </c>
    </row>
    <row r="10" spans="1:8" x14ac:dyDescent="0.3">
      <c r="A10" s="446" t="s">
        <v>644</v>
      </c>
      <c r="B10" s="393">
        <f>B8/B9-1</f>
        <v>-0.20755658279157685</v>
      </c>
      <c r="C10" s="394">
        <f t="shared" ref="C10:E10" si="1">C8/C9-1</f>
        <v>-0.20755658279157685</v>
      </c>
      <c r="D10" s="395">
        <f t="shared" si="1"/>
        <v>-0.20755658279157685</v>
      </c>
      <c r="E10" s="396">
        <f t="shared" si="1"/>
        <v>-0.20755658279157685</v>
      </c>
      <c r="F10" s="371" t="s">
        <v>645</v>
      </c>
      <c r="G10" s="372" t="s">
        <v>641</v>
      </c>
    </row>
    <row r="11" spans="1:8" x14ac:dyDescent="0.3">
      <c r="B11" s="393"/>
      <c r="C11" s="394"/>
      <c r="D11" s="395"/>
      <c r="E11" s="396"/>
    </row>
    <row r="12" spans="1:8" x14ac:dyDescent="0.3">
      <c r="A12" s="382" t="s">
        <v>646</v>
      </c>
      <c r="C12" s="397"/>
      <c r="D12" s="398"/>
      <c r="E12" s="399"/>
    </row>
    <row r="13" spans="1:8" x14ac:dyDescent="0.3">
      <c r="A13" s="446" t="s">
        <v>647</v>
      </c>
      <c r="B13" s="358" cm="1">
        <f t="array" ref="B13">_xll.FDS($B$4,"FE_ESTIMATE(EPS,MEAN,STMA,,NOW,,,'')")</f>
        <v>1.9868692999999999</v>
      </c>
      <c r="C13" s="383" cm="1">
        <f t="array" ref="C13">_xll.FDS($C$1,"FE_ESTIMATE(EPS,MEAN,STMA,,NOW,,,'')")</f>
        <v>1.9868692999999999</v>
      </c>
      <c r="D13" s="384" cm="1">
        <f t="array" ref="D13">_xll.FDS($C$1,"FE_ESTIMATE(EPS,MEAN,STMA,,NOW,,,'')")</f>
        <v>1.9868692999999999</v>
      </c>
      <c r="E13" s="385" cm="1">
        <f t="array" ref="E13">_xll.FDS($C$1,"FE_ESTIMATE(EPS,MEAN,STMA,,NOW,,,'')")</f>
        <v>1.9868692999999999</v>
      </c>
      <c r="F13" s="371" t="s">
        <v>648</v>
      </c>
      <c r="G13" s="372" t="s">
        <v>636</v>
      </c>
    </row>
    <row r="14" spans="1:8" x14ac:dyDescent="0.3">
      <c r="A14" s="446" t="s">
        <v>649</v>
      </c>
      <c r="B14" s="393">
        <f>B13/B7-1</f>
        <v>-0.48184877981051999</v>
      </c>
      <c r="C14" s="394">
        <f>C13/C7-1</f>
        <v>-0.48184877981051999</v>
      </c>
      <c r="D14" s="395">
        <f t="shared" ref="D14:E14" si="2">D13/D7-1</f>
        <v>-0.48184877981051999</v>
      </c>
      <c r="E14" s="396">
        <f t="shared" si="2"/>
        <v>-0.48184877981051999</v>
      </c>
      <c r="G14" s="372" t="s">
        <v>641</v>
      </c>
    </row>
    <row r="15" spans="1:8" x14ac:dyDescent="0.3">
      <c r="B15" s="393"/>
      <c r="C15" s="394"/>
      <c r="D15" s="395"/>
      <c r="E15" s="396"/>
    </row>
    <row r="16" spans="1:8" x14ac:dyDescent="0.3">
      <c r="A16" s="382" t="s">
        <v>650</v>
      </c>
      <c r="B16" s="361"/>
      <c r="C16" s="400"/>
      <c r="D16" s="401"/>
      <c r="E16" s="402"/>
    </row>
    <row r="17" spans="1:7" x14ac:dyDescent="0.3">
      <c r="A17" s="446" t="s">
        <v>651</v>
      </c>
      <c r="B17" s="403">
        <f>B13*1.1</f>
        <v>2.18555623</v>
      </c>
      <c r="C17" s="403">
        <f>'API - BASE'!O137</f>
        <v>4.4292492444084077</v>
      </c>
      <c r="D17" s="403">
        <f>'API - BULL'!O137</f>
        <v>6.2779677891335046</v>
      </c>
      <c r="E17" s="403">
        <f>'API - BEAR'!O137</f>
        <v>1.8880760485928003</v>
      </c>
      <c r="F17" s="371" t="s">
        <v>652</v>
      </c>
      <c r="G17" s="372" t="s">
        <v>653</v>
      </c>
    </row>
    <row r="18" spans="1:7" ht="27" x14ac:dyDescent="0.3">
      <c r="A18" s="446" t="s">
        <v>721</v>
      </c>
      <c r="B18" s="393">
        <f>B17/B13-1</f>
        <v>0.10000000000000009</v>
      </c>
      <c r="C18" s="394">
        <f t="shared" ref="C18:E18" si="3">C17/C13-1</f>
        <v>1.2292604976122021</v>
      </c>
      <c r="D18" s="395">
        <f t="shared" si="3"/>
        <v>2.1597286188545493</v>
      </c>
      <c r="E18" s="396">
        <f t="shared" si="3"/>
        <v>-4.9723075094672664E-2</v>
      </c>
      <c r="F18" s="371" t="s">
        <v>654</v>
      </c>
      <c r="G18" s="372" t="s">
        <v>641</v>
      </c>
    </row>
    <row r="19" spans="1:7" x14ac:dyDescent="0.3">
      <c r="B19" s="393"/>
      <c r="C19" s="394"/>
      <c r="D19" s="395"/>
      <c r="E19" s="396"/>
    </row>
    <row r="20" spans="1:7" ht="33" x14ac:dyDescent="0.3">
      <c r="A20" s="382" t="s">
        <v>655</v>
      </c>
      <c r="C20" s="397"/>
      <c r="D20" s="398"/>
      <c r="E20" s="399"/>
    </row>
    <row r="21" spans="1:7" x14ac:dyDescent="0.3">
      <c r="A21" s="446" t="s">
        <v>656</v>
      </c>
      <c r="B21" s="404">
        <f>B9</f>
        <v>17.807235313024901</v>
      </c>
      <c r="C21" s="404">
        <f t="shared" ref="C21:E21" si="4">C9</f>
        <v>17.807235313024901</v>
      </c>
      <c r="D21" s="404">
        <f>D9</f>
        <v>17.807235313024901</v>
      </c>
      <c r="E21" s="404">
        <f t="shared" si="4"/>
        <v>17.807235313024901</v>
      </c>
      <c r="F21" s="371" t="s">
        <v>657</v>
      </c>
      <c r="G21" s="372" t="s">
        <v>658</v>
      </c>
    </row>
    <row r="22" spans="1:7" x14ac:dyDescent="0.3">
      <c r="A22" s="446" t="s">
        <v>659</v>
      </c>
      <c r="B22" s="405">
        <f>B10</f>
        <v>-0.20755658279157685</v>
      </c>
      <c r="C22" s="405">
        <v>-0.13</v>
      </c>
      <c r="D22" s="405">
        <v>-0.1</v>
      </c>
      <c r="E22" s="405">
        <v>-0.3</v>
      </c>
      <c r="F22" s="371" t="s">
        <v>660</v>
      </c>
      <c r="G22" s="372" t="s">
        <v>661</v>
      </c>
    </row>
    <row r="23" spans="1:7" x14ac:dyDescent="0.3">
      <c r="A23" s="446" t="s">
        <v>662</v>
      </c>
      <c r="B23" s="389">
        <f>B21*(1+B22)</f>
        <v>14.111226402487956</v>
      </c>
      <c r="C23" s="390">
        <f t="shared" ref="C23:E23" si="5">C21*(1+C22)</f>
        <v>15.492294722331664</v>
      </c>
      <c r="D23" s="391">
        <f t="shared" si="5"/>
        <v>16.026511781722412</v>
      </c>
      <c r="E23" s="392">
        <f t="shared" si="5"/>
        <v>12.46506471911743</v>
      </c>
      <c r="F23" s="371" t="s">
        <v>663</v>
      </c>
      <c r="G23" s="372" t="s">
        <v>641</v>
      </c>
    </row>
    <row r="24" spans="1:7" x14ac:dyDescent="0.3">
      <c r="A24" s="446" t="s">
        <v>664</v>
      </c>
      <c r="B24" s="345">
        <f>((B23/B8)-1)</f>
        <v>0</v>
      </c>
      <c r="C24" s="406">
        <f t="shared" ref="C24:E24" si="6">((C23/C8)-1)</f>
        <v>9.7870183671648237E-2</v>
      </c>
      <c r="D24" s="407">
        <f t="shared" si="6"/>
        <v>0.1357277762120499</v>
      </c>
      <c r="E24" s="408">
        <f t="shared" si="6"/>
        <v>-0.11665617405729456</v>
      </c>
      <c r="F24" s="371" t="s">
        <v>665</v>
      </c>
      <c r="G24" s="372" t="s">
        <v>641</v>
      </c>
    </row>
    <row r="25" spans="1:7" x14ac:dyDescent="0.3">
      <c r="B25" s="345"/>
      <c r="C25" s="406"/>
      <c r="D25" s="407"/>
      <c r="E25" s="408"/>
    </row>
    <row r="26" spans="1:7" x14ac:dyDescent="0.3">
      <c r="A26" s="382" t="s">
        <v>666</v>
      </c>
      <c r="B26" s="358">
        <f>B17*B23</f>
        <v>30.840878776898041</v>
      </c>
      <c r="C26" s="383">
        <f>C17*C23</f>
        <v>68.619234693039886</v>
      </c>
      <c r="D26" s="384">
        <f t="shared" ref="D26:E26" si="7">D17*D23</f>
        <v>100.61392473782192</v>
      </c>
      <c r="E26" s="385">
        <f t="shared" si="7"/>
        <v>23.534990140324762</v>
      </c>
      <c r="F26" s="371" t="s">
        <v>667</v>
      </c>
      <c r="G26" s="372" t="s">
        <v>641</v>
      </c>
    </row>
    <row r="27" spans="1:7" x14ac:dyDescent="0.3">
      <c r="A27" s="446" t="s">
        <v>668</v>
      </c>
      <c r="B27" s="393">
        <f>B26/B6-1</f>
        <v>-0.43003365779157199</v>
      </c>
      <c r="C27" s="394">
        <f t="shared" ref="C27:E27" si="8">C26/C6-1</f>
        <v>0.26814331349177389</v>
      </c>
      <c r="D27" s="395">
        <f>D26/D6-1</f>
        <v>0.85943309439700455</v>
      </c>
      <c r="E27" s="396">
        <f t="shared" si="8"/>
        <v>-0.5650528527014459</v>
      </c>
      <c r="G27" s="372" t="s">
        <v>641</v>
      </c>
    </row>
    <row r="29" spans="1:7" x14ac:dyDescent="0.3">
      <c r="B29" s="409"/>
      <c r="C29" s="409"/>
      <c r="D29" s="409"/>
      <c r="E29" s="409"/>
    </row>
    <row r="30" spans="1:7" x14ac:dyDescent="0.3">
      <c r="B30" s="358"/>
      <c r="C30" s="358"/>
      <c r="D30" s="358"/>
      <c r="E30" s="358"/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6413E9-AABA-423A-B9F9-602CA7B848C2}">
  <dimension ref="A1:T24"/>
  <sheetViews>
    <sheetView workbookViewId="0"/>
  </sheetViews>
  <sheetFormatPr defaultColWidth="9" defaultRowHeight="16.5" x14ac:dyDescent="0.3"/>
  <cols>
    <col min="1" max="1" width="23.85546875" bestFit="1" customWidth="1"/>
    <col min="2" max="2" width="10.42578125" bestFit="1" customWidth="1"/>
    <col min="3" max="3" width="9.85546875" bestFit="1" customWidth="1"/>
    <col min="6" max="6" width="10.85546875" customWidth="1"/>
    <col min="7" max="7" width="11.85546875" customWidth="1"/>
    <col min="8" max="8" width="10.5703125" customWidth="1"/>
    <col min="9" max="10" width="12" customWidth="1"/>
    <col min="11" max="11" width="11.42578125" customWidth="1"/>
  </cols>
  <sheetData>
    <row r="1" spans="1:20" x14ac:dyDescent="0.3">
      <c r="A1" s="412"/>
      <c r="B1" s="412"/>
      <c r="C1" s="412"/>
      <c r="D1" s="412"/>
      <c r="E1" s="412"/>
      <c r="F1" s="412"/>
      <c r="G1" s="412"/>
      <c r="H1" s="412"/>
      <c r="I1" s="412"/>
      <c r="J1" s="412" t="s">
        <v>680</v>
      </c>
      <c r="K1" s="412" t="s">
        <v>680</v>
      </c>
      <c r="L1" s="412" t="s">
        <v>680</v>
      </c>
      <c r="M1" s="412" t="s">
        <v>680</v>
      </c>
      <c r="N1" s="412" t="s">
        <v>680</v>
      </c>
      <c r="O1" s="412" t="s">
        <v>407</v>
      </c>
      <c r="P1" s="412" t="s">
        <v>407</v>
      </c>
      <c r="Q1" s="412" t="s">
        <v>407</v>
      </c>
      <c r="R1" s="412" t="s">
        <v>681</v>
      </c>
      <c r="S1" s="412" t="s">
        <v>681</v>
      </c>
      <c r="T1" s="412" t="s">
        <v>681</v>
      </c>
    </row>
    <row r="2" spans="1:20" x14ac:dyDescent="0.3">
      <c r="A2" s="412" t="s">
        <v>682</v>
      </c>
      <c r="B2" s="412"/>
      <c r="C2" s="412" t="s">
        <v>683</v>
      </c>
      <c r="D2" s="412"/>
      <c r="E2" s="412" t="s">
        <v>684</v>
      </c>
      <c r="F2" s="412"/>
      <c r="G2" s="412"/>
      <c r="H2" s="412"/>
      <c r="I2" s="412" t="s">
        <v>685</v>
      </c>
      <c r="J2" s="412" t="s">
        <v>686</v>
      </c>
      <c r="K2" s="412" t="s">
        <v>686</v>
      </c>
      <c r="L2" s="412" t="s">
        <v>686</v>
      </c>
      <c r="M2" s="412" t="s">
        <v>194</v>
      </c>
      <c r="N2" s="412" t="s">
        <v>194</v>
      </c>
      <c r="O2" s="412" t="s">
        <v>687</v>
      </c>
      <c r="P2" s="412" t="s">
        <v>687</v>
      </c>
      <c r="Q2" s="412" t="s">
        <v>687</v>
      </c>
      <c r="R2" s="412" t="s">
        <v>688</v>
      </c>
      <c r="S2" s="412" t="s">
        <v>689</v>
      </c>
      <c r="T2" s="412" t="s">
        <v>690</v>
      </c>
    </row>
    <row r="3" spans="1:20" x14ac:dyDescent="0.3">
      <c r="A3" s="412" t="s">
        <v>691</v>
      </c>
      <c r="B3" s="412" t="s">
        <v>598</v>
      </c>
      <c r="C3" s="412" t="s">
        <v>692</v>
      </c>
      <c r="D3" s="412" t="s">
        <v>693</v>
      </c>
      <c r="E3" s="412" t="s">
        <v>694</v>
      </c>
      <c r="F3" s="412" t="s">
        <v>695</v>
      </c>
      <c r="G3" s="412" t="s">
        <v>696</v>
      </c>
      <c r="H3" s="412" t="s">
        <v>697</v>
      </c>
      <c r="I3" s="412" t="s">
        <v>698</v>
      </c>
      <c r="J3" s="412" t="s">
        <v>699</v>
      </c>
      <c r="K3" s="412" t="s">
        <v>700</v>
      </c>
      <c r="L3" s="412" t="s">
        <v>701</v>
      </c>
      <c r="M3" s="412" t="s">
        <v>700</v>
      </c>
      <c r="N3" s="412" t="s">
        <v>702</v>
      </c>
      <c r="O3" s="412" t="s">
        <v>703</v>
      </c>
      <c r="P3" s="412" t="s">
        <v>704</v>
      </c>
      <c r="Q3" s="412" t="s">
        <v>705</v>
      </c>
      <c r="R3" s="412" t="s">
        <v>706</v>
      </c>
      <c r="S3" s="412" t="s">
        <v>706</v>
      </c>
      <c r="T3" s="412" t="s">
        <v>706</v>
      </c>
    </row>
    <row r="4" spans="1:20" x14ac:dyDescent="0.3">
      <c r="A4" s="413" t="s">
        <v>707</v>
      </c>
      <c r="B4" s="413" t="s">
        <v>708</v>
      </c>
      <c r="C4" s="413" t="s">
        <v>709</v>
      </c>
      <c r="D4" s="414">
        <v>54.290000999999997</v>
      </c>
      <c r="E4" s="415">
        <v>466.42650099999997</v>
      </c>
      <c r="F4" s="416">
        <v>14.924367999999999</v>
      </c>
      <c r="G4" s="416">
        <v>14.176363</v>
      </c>
      <c r="H4" s="416">
        <v>13.938383</v>
      </c>
      <c r="I4" s="413" t="s">
        <v>262</v>
      </c>
      <c r="J4" s="413" t="s">
        <v>262</v>
      </c>
      <c r="K4" s="413" t="s">
        <v>262</v>
      </c>
      <c r="L4" s="413" t="s">
        <v>262</v>
      </c>
      <c r="M4" s="413" t="s">
        <v>262</v>
      </c>
      <c r="N4" s="413" t="s">
        <v>262</v>
      </c>
      <c r="O4" s="414">
        <v>9.5913609999999991</v>
      </c>
      <c r="P4" s="417">
        <v>-156.28482099999999</v>
      </c>
      <c r="Q4" s="417">
        <v>-2091.5830080000001</v>
      </c>
      <c r="R4" s="415">
        <v>8.2776669999999992</v>
      </c>
      <c r="S4" s="415">
        <v>93.352737000000005</v>
      </c>
      <c r="T4" s="415">
        <v>121.73906700000001</v>
      </c>
    </row>
    <row r="5" spans="1:20" x14ac:dyDescent="0.3">
      <c r="A5" s="252" t="s">
        <v>710</v>
      </c>
      <c r="B5" s="252" t="s">
        <v>711</v>
      </c>
      <c r="C5" s="252" t="s">
        <v>709</v>
      </c>
      <c r="D5" s="418">
        <v>14.02</v>
      </c>
      <c r="E5" s="419">
        <v>421.71730700000001</v>
      </c>
      <c r="F5" s="420">
        <v>9.668965</v>
      </c>
      <c r="G5" s="420">
        <v>8.3832090000000008</v>
      </c>
      <c r="H5" s="420">
        <v>8.0199069999999999</v>
      </c>
      <c r="I5" s="252" t="s">
        <v>262</v>
      </c>
      <c r="J5" s="252" t="s">
        <v>262</v>
      </c>
      <c r="K5" s="252" t="s">
        <v>262</v>
      </c>
      <c r="L5" s="252" t="s">
        <v>262</v>
      </c>
      <c r="M5" s="252" t="s">
        <v>262</v>
      </c>
      <c r="N5" s="252" t="s">
        <v>262</v>
      </c>
      <c r="O5" s="252" t="s">
        <v>262</v>
      </c>
      <c r="P5" s="421">
        <v>-35.205658</v>
      </c>
      <c r="Q5" s="421">
        <v>-95.124222000000003</v>
      </c>
      <c r="R5" s="419">
        <v>12.062009</v>
      </c>
      <c r="S5" s="419">
        <v>35.759480000000003</v>
      </c>
      <c r="T5" s="419">
        <v>63.872044000000002</v>
      </c>
    </row>
    <row r="6" spans="1:20" x14ac:dyDescent="0.3">
      <c r="A6" s="413" t="s">
        <v>712</v>
      </c>
      <c r="B6" s="413" t="s">
        <v>713</v>
      </c>
      <c r="C6" s="413" t="s">
        <v>709</v>
      </c>
      <c r="D6" s="414">
        <v>7.36</v>
      </c>
      <c r="E6" s="415">
        <v>319.47171800000001</v>
      </c>
      <c r="F6" s="413" t="s">
        <v>262</v>
      </c>
      <c r="G6" s="413" t="s">
        <v>262</v>
      </c>
      <c r="H6" s="413" t="s">
        <v>262</v>
      </c>
      <c r="I6" s="413" t="s">
        <v>262</v>
      </c>
      <c r="J6" s="413" t="s">
        <v>262</v>
      </c>
      <c r="K6" s="413" t="s">
        <v>262</v>
      </c>
      <c r="L6" s="413" t="s">
        <v>262</v>
      </c>
      <c r="M6" s="413" t="s">
        <v>262</v>
      </c>
      <c r="N6" s="413" t="s">
        <v>262</v>
      </c>
      <c r="O6" s="414">
        <v>27.938538000000001</v>
      </c>
      <c r="P6" s="417">
        <v>-244.15090900000001</v>
      </c>
      <c r="Q6" s="417">
        <v>-485.88388099999997</v>
      </c>
      <c r="R6" s="422">
        <v>-21.447285000000001</v>
      </c>
      <c r="S6" s="422">
        <v>-48.119568000000001</v>
      </c>
      <c r="T6" s="422">
        <v>-41.337314999999997</v>
      </c>
    </row>
    <row r="7" spans="1:20" x14ac:dyDescent="0.3">
      <c r="A7" s="252" t="s">
        <v>714</v>
      </c>
      <c r="B7" s="252" t="s">
        <v>715</v>
      </c>
      <c r="C7" s="252" t="s">
        <v>709</v>
      </c>
      <c r="D7" s="418">
        <v>6.49</v>
      </c>
      <c r="E7" s="419">
        <v>165.876295</v>
      </c>
      <c r="F7" s="420">
        <v>5.9723920000000001</v>
      </c>
      <c r="G7" s="420">
        <v>5.3703060000000002</v>
      </c>
      <c r="H7" s="420">
        <v>5.1920000000000002</v>
      </c>
      <c r="I7" s="252" t="s">
        <v>262</v>
      </c>
      <c r="J7" s="252" t="s">
        <v>262</v>
      </c>
      <c r="K7" s="252" t="s">
        <v>262</v>
      </c>
      <c r="L7" s="252" t="s">
        <v>262</v>
      </c>
      <c r="M7" s="252" t="s">
        <v>262</v>
      </c>
      <c r="N7" s="252" t="s">
        <v>262</v>
      </c>
      <c r="O7" s="418">
        <v>92.183425999999997</v>
      </c>
      <c r="P7" s="421">
        <v>-146.470596</v>
      </c>
      <c r="Q7" s="421">
        <v>-510.18490600000001</v>
      </c>
      <c r="R7" s="419">
        <v>6.9790029999999996</v>
      </c>
      <c r="S7" s="419">
        <v>30.319213999999999</v>
      </c>
      <c r="T7" s="419">
        <v>59.475689000000003</v>
      </c>
    </row>
    <row r="8" spans="1:20" x14ac:dyDescent="0.3">
      <c r="A8" s="413" t="s">
        <v>716</v>
      </c>
      <c r="B8" s="413" t="s">
        <v>717</v>
      </c>
      <c r="C8" s="413" t="s">
        <v>718</v>
      </c>
      <c r="D8" s="414">
        <v>1E-4</v>
      </c>
      <c r="E8" s="415">
        <v>1.7520000000000001E-3</v>
      </c>
      <c r="F8" s="413" t="s">
        <v>262</v>
      </c>
      <c r="G8" s="413" t="s">
        <v>262</v>
      </c>
      <c r="H8" s="413" t="s">
        <v>262</v>
      </c>
      <c r="I8" s="413" t="s">
        <v>262</v>
      </c>
      <c r="J8" s="413" t="s">
        <v>262</v>
      </c>
      <c r="K8" s="413" t="s">
        <v>262</v>
      </c>
      <c r="L8" s="413" t="s">
        <v>262</v>
      </c>
      <c r="M8" s="413" t="s">
        <v>262</v>
      </c>
      <c r="N8" s="413" t="s">
        <v>262</v>
      </c>
      <c r="O8" s="417">
        <v>-11.282869</v>
      </c>
      <c r="P8" s="417">
        <v>-2697.8063959999999</v>
      </c>
      <c r="Q8" s="417">
        <v>-1404.786621</v>
      </c>
      <c r="R8" s="422">
        <v>-36.352730000000001</v>
      </c>
      <c r="S8" s="422">
        <v>-41.853431999999998</v>
      </c>
      <c r="T8" s="422">
        <v>-30.942242</v>
      </c>
    </row>
    <row r="9" spans="1:20" x14ac:dyDescent="0.3">
      <c r="A9" s="423"/>
      <c r="B9" s="423"/>
      <c r="C9" s="423"/>
      <c r="D9" s="423"/>
      <c r="E9" s="423"/>
      <c r="F9" s="423"/>
      <c r="G9" s="423"/>
      <c r="H9" s="423"/>
      <c r="I9" s="423"/>
      <c r="J9" s="423"/>
      <c r="K9" s="423"/>
      <c r="L9" s="423"/>
      <c r="M9" s="423"/>
      <c r="N9" s="423"/>
      <c r="O9" s="423"/>
      <c r="P9" s="423"/>
      <c r="Q9" s="423"/>
      <c r="R9" s="423"/>
      <c r="S9" s="423"/>
      <c r="T9" s="423"/>
    </row>
    <row r="10" spans="1:20" x14ac:dyDescent="0.3">
      <c r="A10" s="252" t="s">
        <v>719</v>
      </c>
      <c r="B10" s="252"/>
      <c r="C10" s="252"/>
      <c r="D10" s="252"/>
      <c r="E10" s="252"/>
      <c r="F10" s="420">
        <v>10.188575</v>
      </c>
      <c r="G10" s="420">
        <v>9.3099589999999992</v>
      </c>
      <c r="H10" s="420">
        <v>9.0500969999999992</v>
      </c>
      <c r="I10" s="252" t="s">
        <v>262</v>
      </c>
      <c r="J10" s="252" t="s">
        <v>262</v>
      </c>
      <c r="K10" s="252" t="s">
        <v>262</v>
      </c>
      <c r="L10" s="252" t="s">
        <v>262</v>
      </c>
      <c r="M10" s="252" t="s">
        <v>262</v>
      </c>
      <c r="N10" s="252" t="s">
        <v>262</v>
      </c>
      <c r="O10" s="418">
        <v>29.607614000000002</v>
      </c>
      <c r="P10" s="421">
        <v>-655.98367599999995</v>
      </c>
      <c r="Q10" s="421">
        <v>-917.51252799999997</v>
      </c>
      <c r="R10" s="424">
        <v>-6.0962670000000001</v>
      </c>
      <c r="S10" s="419">
        <v>13.891686</v>
      </c>
      <c r="T10" s="419">
        <v>34.561449000000003</v>
      </c>
    </row>
    <row r="11" spans="1:20" x14ac:dyDescent="0.3">
      <c r="A11" s="413" t="s">
        <v>32</v>
      </c>
      <c r="B11" s="413"/>
      <c r="C11" s="413"/>
      <c r="D11" s="413"/>
      <c r="E11" s="413"/>
      <c r="F11" s="416">
        <v>9.668965</v>
      </c>
      <c r="G11" s="416">
        <v>8.3832090000000008</v>
      </c>
      <c r="H11" s="416">
        <v>8.0199069999999999</v>
      </c>
      <c r="I11" s="413" t="s">
        <v>262</v>
      </c>
      <c r="J11" s="413" t="s">
        <v>262</v>
      </c>
      <c r="K11" s="413" t="s">
        <v>262</v>
      </c>
      <c r="L11" s="413" t="s">
        <v>262</v>
      </c>
      <c r="M11" s="413" t="s">
        <v>262</v>
      </c>
      <c r="N11" s="413" t="s">
        <v>262</v>
      </c>
      <c r="O11" s="414">
        <v>18.764949999999999</v>
      </c>
      <c r="P11" s="417">
        <v>-156.28482099999999</v>
      </c>
      <c r="Q11" s="417">
        <v>-510.18490600000001</v>
      </c>
      <c r="R11" s="415">
        <v>6.9790029999999996</v>
      </c>
      <c r="S11" s="415">
        <v>30.319213999999999</v>
      </c>
      <c r="T11" s="415">
        <v>59.475689000000003</v>
      </c>
    </row>
    <row r="14" spans="1:20" x14ac:dyDescent="0.3">
      <c r="A14" s="412"/>
      <c r="B14" s="412"/>
      <c r="C14" s="412"/>
      <c r="D14" s="412"/>
      <c r="E14" s="412"/>
      <c r="F14" s="412"/>
      <c r="G14" s="412"/>
      <c r="H14" s="412"/>
      <c r="I14" s="412" t="s">
        <v>407</v>
      </c>
      <c r="J14" s="412" t="s">
        <v>407</v>
      </c>
      <c r="K14" s="412" t="s">
        <v>407</v>
      </c>
      <c r="L14" s="412" t="s">
        <v>681</v>
      </c>
      <c r="M14" s="412" t="s">
        <v>681</v>
      </c>
      <c r="N14" s="412" t="s">
        <v>681</v>
      </c>
    </row>
    <row r="15" spans="1:20" x14ac:dyDescent="0.3">
      <c r="A15" s="412" t="s">
        <v>682</v>
      </c>
      <c r="B15" s="412"/>
      <c r="C15" s="412" t="s">
        <v>683</v>
      </c>
      <c r="D15" s="412"/>
      <c r="E15" s="412" t="s">
        <v>684</v>
      </c>
      <c r="F15" s="412"/>
      <c r="G15" s="412"/>
      <c r="H15" s="412"/>
      <c r="I15" s="412" t="s">
        <v>687</v>
      </c>
      <c r="J15" s="412" t="s">
        <v>687</v>
      </c>
      <c r="K15" s="412" t="s">
        <v>687</v>
      </c>
      <c r="L15" s="412" t="s">
        <v>688</v>
      </c>
      <c r="M15" s="412" t="s">
        <v>689</v>
      </c>
      <c r="N15" s="412" t="s">
        <v>690</v>
      </c>
    </row>
    <row r="16" spans="1:20" x14ac:dyDescent="0.3">
      <c r="A16" s="412" t="s">
        <v>691</v>
      </c>
      <c r="B16" s="412" t="s">
        <v>598</v>
      </c>
      <c r="C16" s="412" t="s">
        <v>692</v>
      </c>
      <c r="D16" s="412" t="s">
        <v>693</v>
      </c>
      <c r="E16" s="412" t="s">
        <v>694</v>
      </c>
      <c r="F16" s="412" t="s">
        <v>695</v>
      </c>
      <c r="G16" s="412" t="s">
        <v>696</v>
      </c>
      <c r="H16" s="412" t="s">
        <v>697</v>
      </c>
      <c r="I16" s="412" t="s">
        <v>703</v>
      </c>
      <c r="J16" s="412" t="s">
        <v>704</v>
      </c>
      <c r="K16" s="412" t="s">
        <v>705</v>
      </c>
      <c r="L16" s="412" t="s">
        <v>706</v>
      </c>
      <c r="M16" s="412" t="s">
        <v>706</v>
      </c>
      <c r="N16" s="412" t="s">
        <v>706</v>
      </c>
    </row>
    <row r="17" spans="1:14" x14ac:dyDescent="0.3">
      <c r="A17" s="413" t="s">
        <v>707</v>
      </c>
      <c r="B17" s="413" t="s">
        <v>708</v>
      </c>
      <c r="C17" s="413" t="s">
        <v>709</v>
      </c>
      <c r="D17" s="414">
        <v>54.290000999999997</v>
      </c>
      <c r="E17" s="415">
        <v>466.42650099999997</v>
      </c>
      <c r="F17" s="416">
        <v>14.924367999999999</v>
      </c>
      <c r="G17" s="416">
        <v>14.176363</v>
      </c>
      <c r="H17" s="416">
        <v>13.938383</v>
      </c>
      <c r="I17" s="414">
        <v>9.5913609999999991</v>
      </c>
      <c r="J17" s="417">
        <v>-156.28482099999999</v>
      </c>
      <c r="K17" s="417">
        <v>-2091.5830080000001</v>
      </c>
      <c r="L17" s="415">
        <v>8.2776669999999992</v>
      </c>
      <c r="M17" s="415">
        <v>93.352737000000005</v>
      </c>
      <c r="N17" s="415">
        <v>121.73906700000001</v>
      </c>
    </row>
    <row r="18" spans="1:14" x14ac:dyDescent="0.3">
      <c r="A18" s="252" t="s">
        <v>710</v>
      </c>
      <c r="B18" s="252" t="s">
        <v>711</v>
      </c>
      <c r="C18" s="252" t="s">
        <v>709</v>
      </c>
      <c r="D18" s="418">
        <v>14.02</v>
      </c>
      <c r="E18" s="419">
        <v>421.71730700000001</v>
      </c>
      <c r="F18" s="420">
        <v>9.668965</v>
      </c>
      <c r="G18" s="420">
        <v>8.3832090000000008</v>
      </c>
      <c r="H18" s="420">
        <v>8.0199069999999999</v>
      </c>
      <c r="I18" s="252" t="s">
        <v>262</v>
      </c>
      <c r="J18" s="421">
        <v>-35.205658</v>
      </c>
      <c r="K18" s="421">
        <v>-95.124222000000003</v>
      </c>
      <c r="L18" s="419">
        <v>12.062009</v>
      </c>
      <c r="M18" s="419">
        <v>35.759480000000003</v>
      </c>
      <c r="N18" s="419">
        <v>63.872044000000002</v>
      </c>
    </row>
    <row r="19" spans="1:14" x14ac:dyDescent="0.3">
      <c r="A19" s="413" t="s">
        <v>712</v>
      </c>
      <c r="B19" s="413" t="s">
        <v>713</v>
      </c>
      <c r="C19" s="413" t="s">
        <v>709</v>
      </c>
      <c r="D19" s="414">
        <v>7.36</v>
      </c>
      <c r="E19" s="415">
        <v>319.47171800000001</v>
      </c>
      <c r="F19" s="413" t="s">
        <v>262</v>
      </c>
      <c r="G19" s="413" t="s">
        <v>262</v>
      </c>
      <c r="H19" s="413" t="s">
        <v>262</v>
      </c>
      <c r="I19" s="414">
        <v>27.938538000000001</v>
      </c>
      <c r="J19" s="417">
        <v>-244.15090900000001</v>
      </c>
      <c r="K19" s="417">
        <v>-485.88388099999997</v>
      </c>
      <c r="L19" s="422">
        <v>-21.447285000000001</v>
      </c>
      <c r="M19" s="422">
        <v>-48.119568000000001</v>
      </c>
      <c r="N19" s="422">
        <v>-41.337314999999997</v>
      </c>
    </row>
    <row r="20" spans="1:14" x14ac:dyDescent="0.3">
      <c r="A20" s="252" t="s">
        <v>714</v>
      </c>
      <c r="B20" s="252" t="s">
        <v>715</v>
      </c>
      <c r="C20" s="252" t="s">
        <v>709</v>
      </c>
      <c r="D20" s="418">
        <v>6.49</v>
      </c>
      <c r="E20" s="419">
        <v>165.876295</v>
      </c>
      <c r="F20" s="420">
        <v>5.9723920000000001</v>
      </c>
      <c r="G20" s="420">
        <v>5.3703060000000002</v>
      </c>
      <c r="H20" s="420">
        <v>5.1920000000000002</v>
      </c>
      <c r="I20" s="418">
        <v>92.183425999999997</v>
      </c>
      <c r="J20" s="421">
        <v>-146.470596</v>
      </c>
      <c r="K20" s="421">
        <v>-510.18490600000001</v>
      </c>
      <c r="L20" s="419">
        <v>6.9790029999999996</v>
      </c>
      <c r="M20" s="419">
        <v>30.319213999999999</v>
      </c>
      <c r="N20" s="419">
        <v>59.475689000000003</v>
      </c>
    </row>
    <row r="21" spans="1:14" x14ac:dyDescent="0.3">
      <c r="A21" s="413" t="s">
        <v>716</v>
      </c>
      <c r="B21" s="413" t="s">
        <v>717</v>
      </c>
      <c r="C21" s="413" t="s">
        <v>718</v>
      </c>
      <c r="D21" s="414">
        <v>1E-4</v>
      </c>
      <c r="E21" s="415">
        <v>1.7520000000000001E-3</v>
      </c>
      <c r="F21" s="413" t="s">
        <v>262</v>
      </c>
      <c r="G21" s="413" t="s">
        <v>262</v>
      </c>
      <c r="H21" s="413" t="s">
        <v>262</v>
      </c>
      <c r="I21" s="417">
        <v>-11.282869</v>
      </c>
      <c r="J21" s="417">
        <v>-2697.8063959999999</v>
      </c>
      <c r="K21" s="417">
        <v>-1404.786621</v>
      </c>
      <c r="L21" s="422">
        <v>-36.352730000000001</v>
      </c>
      <c r="M21" s="422">
        <v>-41.853431999999998</v>
      </c>
      <c r="N21" s="422">
        <v>-30.942242</v>
      </c>
    </row>
    <row r="22" spans="1:14" x14ac:dyDescent="0.3">
      <c r="A22" s="423"/>
      <c r="B22" s="423"/>
      <c r="C22" s="423"/>
      <c r="D22" s="423"/>
      <c r="E22" s="423"/>
      <c r="F22" s="423"/>
      <c r="G22" s="423"/>
      <c r="H22" s="423"/>
      <c r="I22" s="423"/>
      <c r="J22" s="423"/>
      <c r="K22" s="423"/>
      <c r="L22" s="423"/>
      <c r="M22" s="423"/>
      <c r="N22" s="423"/>
    </row>
    <row r="23" spans="1:14" x14ac:dyDescent="0.3">
      <c r="A23" s="252" t="s">
        <v>719</v>
      </c>
      <c r="B23" s="252"/>
      <c r="C23" s="252"/>
      <c r="D23" s="252"/>
      <c r="E23" s="252"/>
      <c r="F23" s="420">
        <v>10.188575</v>
      </c>
      <c r="G23" s="420">
        <v>9.3099589999999992</v>
      </c>
      <c r="H23" s="420">
        <v>9.0500969999999992</v>
      </c>
      <c r="I23" s="418">
        <v>29.607614000000002</v>
      </c>
      <c r="J23" s="421">
        <v>-655.98367599999995</v>
      </c>
      <c r="K23" s="421">
        <v>-917.51252799999997</v>
      </c>
      <c r="L23" s="424">
        <v>-6.0962670000000001</v>
      </c>
      <c r="M23" s="419">
        <v>13.891686</v>
      </c>
      <c r="N23" s="419">
        <v>34.561449000000003</v>
      </c>
    </row>
    <row r="24" spans="1:14" x14ac:dyDescent="0.3">
      <c r="A24" s="413" t="s">
        <v>32</v>
      </c>
      <c r="B24" s="413"/>
      <c r="C24" s="413"/>
      <c r="D24" s="413"/>
      <c r="E24" s="413"/>
      <c r="F24" s="416">
        <v>9.668965</v>
      </c>
      <c r="G24" s="416">
        <v>8.3832090000000008</v>
      </c>
      <c r="H24" s="416">
        <v>8.0199069999999999</v>
      </c>
      <c r="I24" s="414">
        <v>18.764949999999999</v>
      </c>
      <c r="J24" s="417">
        <v>-156.28482099999999</v>
      </c>
      <c r="K24" s="417">
        <v>-510.18490600000001</v>
      </c>
      <c r="L24" s="415">
        <v>6.9790029999999996</v>
      </c>
      <c r="M24" s="415">
        <v>30.319213999999999</v>
      </c>
      <c r="N24" s="415">
        <v>59.475689000000003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3956D2-E7EF-4C19-949A-42F02E538834}">
  <dimension ref="A1:D24"/>
  <sheetViews>
    <sheetView workbookViewId="0"/>
  </sheetViews>
  <sheetFormatPr defaultColWidth="9" defaultRowHeight="16.5" x14ac:dyDescent="0.3"/>
  <cols>
    <col min="1" max="1" width="28.140625" customWidth="1"/>
  </cols>
  <sheetData>
    <row r="1" spans="1:4" x14ac:dyDescent="0.3">
      <c r="A1" s="439"/>
      <c r="B1" s="440" t="s">
        <v>670</v>
      </c>
      <c r="C1" s="440" t="s">
        <v>55</v>
      </c>
      <c r="D1" s="440" t="s">
        <v>56</v>
      </c>
    </row>
    <row r="2" spans="1:4" x14ac:dyDescent="0.3">
      <c r="A2" s="441" t="s">
        <v>671</v>
      </c>
      <c r="B2" s="423"/>
      <c r="C2" s="423"/>
      <c r="D2" s="423"/>
    </row>
    <row r="3" spans="1:4" x14ac:dyDescent="0.3">
      <c r="A3" s="423" t="s">
        <v>672</v>
      </c>
      <c r="B3" s="442">
        <f>'API - BULL'!M46</f>
        <v>0.10976502743397765</v>
      </c>
      <c r="C3" s="442">
        <f>'API - BULL'!N46</f>
        <v>0.2935984744249942</v>
      </c>
      <c r="D3" s="442">
        <f>'API - BULL'!O46</f>
        <v>4.4759757208988615E-2</v>
      </c>
    </row>
    <row r="4" spans="1:4" x14ac:dyDescent="0.3">
      <c r="A4" s="423" t="s">
        <v>673</v>
      </c>
      <c r="B4" s="442">
        <f>'API - BASE'!M46</f>
        <v>0.10479988309782762</v>
      </c>
      <c r="C4" s="442">
        <f>'API - BASE'!N46</f>
        <v>0.29203326664554585</v>
      </c>
      <c r="D4" s="442">
        <f>'API - BASE'!O46</f>
        <v>3.8866028202240166E-3</v>
      </c>
    </row>
    <row r="5" spans="1:4" x14ac:dyDescent="0.3">
      <c r="A5" s="423" t="s">
        <v>674</v>
      </c>
      <c r="B5" s="442">
        <f>'API - BEAR'!M46</f>
        <v>0.10048054799895101</v>
      </c>
      <c r="C5" s="442">
        <f>'API - BEAR'!N46</f>
        <v>8.5608503432421879E-2</v>
      </c>
      <c r="D5" s="442">
        <f>'API - BEAR'!O46</f>
        <v>9.1051783260354791E-2</v>
      </c>
    </row>
    <row r="6" spans="1:4" x14ac:dyDescent="0.3">
      <c r="A6" s="423"/>
      <c r="B6" s="423"/>
      <c r="C6" s="423"/>
      <c r="D6" s="423"/>
    </row>
    <row r="7" spans="1:4" x14ac:dyDescent="0.3">
      <c r="A7" s="441" t="s">
        <v>675</v>
      </c>
      <c r="B7" s="423"/>
      <c r="C7" s="423"/>
      <c r="D7" s="423"/>
    </row>
    <row r="8" spans="1:4" x14ac:dyDescent="0.3">
      <c r="A8" s="423" t="s">
        <v>672</v>
      </c>
      <c r="B8" s="443">
        <f>'API - BULL'!M110</f>
        <v>20.932945873339662</v>
      </c>
      <c r="C8" s="443">
        <f>'API - BULL'!N110</f>
        <v>0.78634664955231359</v>
      </c>
      <c r="D8" s="443">
        <f>'API - BULL'!O110</f>
        <v>-0.44534697178234134</v>
      </c>
    </row>
    <row r="9" spans="1:4" x14ac:dyDescent="0.3">
      <c r="A9" s="423" t="s">
        <v>673</v>
      </c>
      <c r="B9" s="443">
        <f>'API - BASE'!M110</f>
        <v>20.56368004227749</v>
      </c>
      <c r="C9" s="443">
        <f>'API - BASE'!N110</f>
        <v>-1.6399796372106603</v>
      </c>
      <c r="D9" s="443">
        <f>'API - BASE'!O110</f>
        <v>-0.10639766608596252</v>
      </c>
    </row>
    <row r="10" spans="1:4" x14ac:dyDescent="0.3">
      <c r="A10" s="423" t="s">
        <v>674</v>
      </c>
      <c r="B10" s="443">
        <f>'API - BEAR'!M110</f>
        <v>20.062972551597682</v>
      </c>
      <c r="C10" s="443">
        <f>'API - BEAR'!N110</f>
        <v>-3.9268339772781053</v>
      </c>
      <c r="D10" s="443">
        <f>'API - BEAR'!O110</f>
        <v>-0.48957946732517899</v>
      </c>
    </row>
    <row r="11" spans="1:4" x14ac:dyDescent="0.3">
      <c r="A11" s="423"/>
      <c r="B11" s="423"/>
      <c r="C11" s="423"/>
      <c r="D11" s="423"/>
    </row>
    <row r="12" spans="1:4" x14ac:dyDescent="0.3">
      <c r="A12" s="441" t="s">
        <v>676</v>
      </c>
      <c r="B12" s="423"/>
      <c r="C12" s="423"/>
      <c r="D12" s="423"/>
    </row>
    <row r="13" spans="1:4" x14ac:dyDescent="0.3">
      <c r="A13" s="423" t="s">
        <v>672</v>
      </c>
      <c r="B13" s="474" t="s">
        <v>626</v>
      </c>
      <c r="C13" s="442">
        <f>'API - BULL'!N138</f>
        <v>0.53738166883736649</v>
      </c>
      <c r="D13" s="442">
        <f>'API - BULL'!O138</f>
        <v>6.0538582449998213E-2</v>
      </c>
    </row>
    <row r="14" spans="1:4" x14ac:dyDescent="0.3">
      <c r="A14" s="423" t="s">
        <v>673</v>
      </c>
      <c r="B14" s="474" t="s">
        <v>626</v>
      </c>
      <c r="C14" s="442">
        <f>'API - BASE'!N138</f>
        <v>0.16291978721063072</v>
      </c>
      <c r="D14" s="442">
        <f>'API - BASE'!O138</f>
        <v>4.1398918544813812E-2</v>
      </c>
    </row>
    <row r="15" spans="1:4" x14ac:dyDescent="0.3">
      <c r="A15" s="423" t="s">
        <v>674</v>
      </c>
      <c r="B15" s="474" t="s">
        <v>626</v>
      </c>
      <c r="C15" s="442">
        <f>'API - BEAR'!N138</f>
        <v>-0.46738735656035746</v>
      </c>
      <c r="D15" s="442">
        <f>'API - BEAR'!O138</f>
        <v>4.0301135329426696E-2</v>
      </c>
    </row>
    <row r="16" spans="1:4" x14ac:dyDescent="0.3">
      <c r="A16" s="423"/>
      <c r="B16" s="475"/>
      <c r="C16" s="423"/>
      <c r="D16" s="423"/>
    </row>
    <row r="17" spans="1:4" x14ac:dyDescent="0.3">
      <c r="A17" s="441" t="s">
        <v>407</v>
      </c>
      <c r="B17" s="423"/>
      <c r="C17" s="444" t="s">
        <v>677</v>
      </c>
      <c r="D17" s="423"/>
    </row>
    <row r="18" spans="1:4" x14ac:dyDescent="0.3">
      <c r="A18" s="423" t="s">
        <v>672</v>
      </c>
      <c r="B18" s="445">
        <f>'API - BULL'!M137</f>
        <v>3.8504448902677253</v>
      </c>
      <c r="C18" s="445">
        <f>'API - BULL'!N137</f>
        <v>5.9196033911661061</v>
      </c>
      <c r="D18" s="445">
        <f>'API - BULL'!O137</f>
        <v>6.2779677891335046</v>
      </c>
    </row>
    <row r="19" spans="1:4" x14ac:dyDescent="0.3">
      <c r="A19" s="423" t="s">
        <v>673</v>
      </c>
      <c r="B19" s="445">
        <f>'API - BASE'!M137</f>
        <v>3.6573223271272703</v>
      </c>
      <c r="C19" s="445">
        <f>'API - BASE'!N137</f>
        <v>4.2531725024235341</v>
      </c>
      <c r="D19" s="445">
        <f>'API - BASE'!O137</f>
        <v>4.4292492444084077</v>
      </c>
    </row>
    <row r="20" spans="1:4" x14ac:dyDescent="0.3">
      <c r="A20" s="423" t="s">
        <v>674</v>
      </c>
      <c r="B20" s="445">
        <f>'API - BEAR'!M137</f>
        <v>3.4076025831383703</v>
      </c>
      <c r="C20" s="445">
        <f>'API - BEAR'!N137</f>
        <v>1.8149322195970816</v>
      </c>
      <c r="D20" s="445">
        <f>'API - BEAR'!O137</f>
        <v>1.8880760485928003</v>
      </c>
    </row>
    <row r="21" spans="1:4" x14ac:dyDescent="0.3">
      <c r="A21" s="423"/>
      <c r="B21" s="423"/>
      <c r="C21" s="423"/>
      <c r="D21" s="423"/>
    </row>
    <row r="22" spans="1:4" x14ac:dyDescent="0.3">
      <c r="A22" s="423"/>
      <c r="B22" s="423"/>
      <c r="C22" s="444" t="s">
        <v>679</v>
      </c>
      <c r="D22" s="423"/>
    </row>
    <row r="23" spans="1:4" x14ac:dyDescent="0.3">
      <c r="A23" s="423" t="s">
        <v>407</v>
      </c>
      <c r="B23" s="445">
        <v>3.64</v>
      </c>
      <c r="C23" s="445">
        <f>'How Do You Differ'!C7</f>
        <v>3.8345356000000002</v>
      </c>
      <c r="D23" s="445">
        <f>'How Do You Differ'!E13</f>
        <v>1.9868692999999999</v>
      </c>
    </row>
    <row r="24" spans="1:4" x14ac:dyDescent="0.3">
      <c r="A24" s="423" t="s">
        <v>678</v>
      </c>
      <c r="B24" s="442">
        <f>(B19/B23)-1</f>
        <v>4.7588810789203073E-3</v>
      </c>
      <c r="C24" s="442">
        <f t="shared" ref="C24" si="0">(C19/C23)-1</f>
        <v>0.1091753855208788</v>
      </c>
      <c r="D24" s="442">
        <f>(D19/D23)-1</f>
        <v>1.2292604976122021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FdsFormulaCache xmlns="urn:fdsformulacache" version="2" timestamp="1696653964"><![CDATA[{"HCI^FE_ESTIMATE(EPS,MEAN,STMA,,NOW,,,'')":1.9868693,"SP50^FG_PE_NTM(0,,,90,0)":17.8072353130249,"HCI^FE_ESTIMATE(EPS,MEAN,NTMA,,NOW,,,'')":3.8345356,"HCI-US^FE_ESTIMATE(EPS,MEAN,NTMA,,NOW,,,'')":3.8345356,"HCI^P_PRICE(0)":54.11,"SP50^FG_NAME_IDX":"S&P 500","HCI^FG_COMPANY_NAME":"HCI Group, Inc.","HCI^OS_SEC_SI_PCTFLT(0D)":20.1372071160279,"HCI^FF_INSID_PCT_CURR":0.301733,"HCI^FF_ROIC(ANN_R,0)":-14.5348545537598,"HCI^FF_ROE(ANN_R,0)":-22.6553159615689,"HCI^FF_ROA(ANN_R,0)":-5.06788496726009,"HCI^FE_ESTIMATE(SALES,MEAN,ANN_ROLL,+3,NOW,,,'')":null,"HCI^FE_ESTIMATE(SALES,MEAN,ANN_ROLL,+2,NOW,,,'')":557.407,"HCI^FE_ESTIMATE(SALES,MEAN,ANN_ROLL,+1,NOW,,,'')":506.42233,"HCI^P_DIV_YLD":2.9569395,"HCI^FF_ENTRPR_VAL_DAILY(0,,,,,\"DIL\")":598.94331,"HCI^FREF_MARKET_VALUE_COMPANY(0,,,,,0,,\"LEGACY\")":464.88004793023,"HCI^FF_PRICE_HIGH_52WK":70.0,"HCI^FF_PRICE_LOW_52WK":27.65,"HCI^FE_TIMESERIES(FCF,MEAN,0FY,0FY,FY,'BKRACTMED=1,WIN=0,CURRENCY=USD,UNITS=AUTO,DATE=NOW')":null,"HCI^FE_TIMESERIES(FCF,MEAN,-1FY,-1FY,FY,'BKRACTMED=1,WIN=0,CURRENCY=USD,UNITS=AUTO,DATE=NOW')":null,"HCI^FE_TIMESERIES(FCF,MEAN,-2FY,-2FY,FY,'BKRACTMED=1,WIN=0,CURRENCY=USD,UNITS=AUTO,DATE=NOW')":null,"HCI^FE_TIMESERIES(FCF,MEAN,-3FY,-3FY,FY,'BKRACTMED=1,WIN=0,CURRENCY=USD,UNITS=AUTO,DATE=NOW')":null,"HCI^FE_TIMESERIES(FCF,MEAN,-4FY,-4FY,FY,'BKRACTMED=1,WIN=0,CURRENCY=USD,UNITS=AUTO,DATE=NOW')":null,"HCI^FE_TIMESERIES(FCF,MEAN,-5FY,-5FY,FY,'BKRACTMED=1,WIN=0,CURRENCY=USD,UNITS=AUTO,DATE=NOW')":null,"HCI^FE_TIMESERIES(FCF,MEAN,-6FY,-6FY,FY,'BKRACTMED=1,WIN=0,CURRENCY=USD,UNITS=AUTO,DATE=NOW')":null,"HCI^FE_TIMESERIES(FCF,MEAN,-7FY,-7FY,FY,'BKRACTMED=1,WIN=0,CURRENCY=USD,UNITS=AUTO,DATE=NOW')":null,"HCI^FE_TIMESERIES(FCF,MEAN,-8FY,-8FY,FY,'BKRACTMED=1,WIN=0,CURRENCY=USD,UNITS=AUTO,DATE=NOW')":null,"HCI^FE_TIMESERIES(FCF,MEAN,-9FY,-9FY,FY,'BKRACTMED=1,WIN=0,CURRENCY=USD,UNITS=AUTO,DATE=NOW')":null,"HCI^FE_TIMESERIES(FCF,MEAN,-10FY,-10FY,FY,'BKRACTMED=1,WIN=0,CURRENCY=USD,UNITS=AUTO,DATE=NOW')":null,"HCI^FE_TIMESERIES(CFF,MEAN,0FY,0FY,FY,'BKRACTMED=1,WIN=0,CURRENCY=USD,UNITS=AUTO,DATE=NOW')":null,"HCI^FE_TIMESERIES(CFF,MEAN,-1FY,-1FY,FY,'BKRACTMED=1,WIN=0,CURRENCY=USD,UNITS=AUTO,DATE=NOW')":null,"HCI^FE_TIMESERIES(CFF,MEAN,-2FY,-2FY,FY,'BKRACTMED=1,WIN=0,CURRENCY=USD,UNITS=AUTO,DATE=NOW')":null,"HCI^FE_TIMESERIES(CFF,MEAN,-3FY,-3FY,FY,'BKRACTMED=1,WIN=0,CURRENCY=USD,UNITS=AUTO,DATE=NOW')":null,"HCI^FE_TIMESERIES(CFF,MEAN,-4FY,-4FY,FY,'BKRACTMED=1,WIN=0,CURRENCY=USD,UNITS=AUTO,DATE=NOW')":null,"HCI^FE_TIMESERIES(CFF,MEAN,-5FY,-5FY,FY,'BKRACTMED=1,WIN=0,CURRENCY=USD,UNITS=AUTO,DATE=NOW')":null,"HCI^FE_TIMESERIES(CFF,MEAN,-6FY,-6FY,FY,'BKRACTMED=1,WIN=0,CURRENCY=USD,UNITS=AUTO,DATE=NOW')":null,"HCI^FE_TIMESERIES(CFF,MEAN,-7FY,-7FY,FY,'BKRACTMED=1,WIN=0,CURRENCY=USD,UNITS=AUTO,DATE=NOW')":null,"HCI^FE_TIMESERIES(CFF,MEAN,-8FY,-8FY,FY,'BKRACTMED=1,WIN=0,CURRENCY=USD,UNITS=AUTO,DATE=NOW')":null,"HCI^FE_TIMESERIES(CFF,MEAN,-9FY,-9FY,FY,'BKRACTMED=1,WIN=0,CURRENCY=USD,UNITS=AUTO,DATE=NOW')":null,"HCI^FE_TIMESERIES(CFF,MEAN,-10FY,-10FY,FY,'BKRACTMED=1,WIN=0,CURRENCY=USD,UNITS=AUTO,DATE=NOW')":24.799,"HCI^FE_TIMESERIES(CFI,MEAN,0FY,0FY,FY,'BKRACTMED=1,WIN=0,CURRENCY=USD,UNITS=AUTO,DATE=NOW')":null,"HCI^FE_TIMESERIES(CFI,MEAN,-1FY,-1FY,FY,'BKRACTMED=1,WIN=0,CURRENCY=USD,UNITS=AUTO,DATE=NOW')":null,"HCI^FE_TIMESERIES(CFI,MEAN,-2FY,-2FY,FY,'BKRACTMED=1,WIN=0,CURRENCY=USD,UNITS=AUTO,DATE=NOW')":null,"HCI^FE_TIMESERIES(CFI,MEAN,-3FY,-3FY,FY,'BKRACTMED=1,WIN=0,CURRENCY=USD,UNITS=AUTO,DATE=NOW')":null,"HCI^FE_TIMESERIES(CFI,MEAN,-4FY,-4FY,FY,'BKRACTMED=1,WIN=0,CURRENCY=USD,UNITS=AUTO,DATE=NOW')":null,"HCI^FE_TIMESERIES(CFI,MEAN,-5FY,-5FY,FY,'BKRACTMED=1,WIN=0,CURRENCY=USD,UNITS=AUTO,DATE=NOW')":null,"HCI^FE_TIMESERIES(CFI,MEAN,-6FY,-6FY,FY,'BKRACTMED=1,WIN=0,CURRENCY=USD,UNITS=AUTO,DATE=NOW')":null,"HCI^FE_TIMESERIES(CFI,MEAN,-7FY,-7FY,FY,'BKRACTMED=1,WIN=0,CURRENCY=USD,UNITS=AUTO,DATE=NOW')":null,"HCI^FE_TIMESERIES(CFI,MEAN,-8FY,-8FY,FY,'BKRACTMED=1,WIN=0,CURRENCY=USD,UNITS=AUTO,DATE=NOW')":null,"HCI^FE_TIMESERIES(CFI,MEAN,-9FY,-9FY,FY,'BKRACTMED=1,WIN=0,CURRENCY=USD,UNITS=AUTO,DATE=NOW')":null,"HCI^FE_TIMESERIES(CFI,MEAN,-10FY,-10FY,FY,'BKRACTMED=1,WIN=0,CURRENCY=USD,UNITS=AUTO,DATE=NOW')":-1.211,"HCI^FE_TIMESERIES(CAPEX,MEAN,0FY,0FY,FY,'BKRACTMED=1,WIN=0,CURRENCY=USD,UNITS=AUTO,DATE=NOW')":null,"HCI^FE_TIMESERIES(CAPEX,MEAN,-1FY,-1FY,FY,'BKRACTMED=1,WIN=0,CURRENCY=USD,UNITS=AUTO,DATE=NOW')":null,"HCI^FE_TIMESERIES(CAPEX,MEAN,-2FY,-2FY,FY,'BKRACTMED=1,WIN=0,CURRENCY=USD,UNITS=AUTO,DATE=NOW')":null,"HCI^FE_TIMESERIES(CAPEX,MEAN,-3FY,-3FY,FY,'BKRACTMED=1,WIN=0,CURRENCY=USD,UNITS=AUTO,DATE=NOW')":null,"HCI^FE_TIMESERIES(CAPEX,MEAN,-4FY,-4FY,FY,'BKRACTMED=1,WIN=0,CURRENCY=USD,UNITS=AUTO,DATE=NOW')":null,"HCI^FE_TIMESERIES(CAPEX,MEAN,-5FY,-5FY,FY,'BKRACTMED=1,WIN=0,CURRENCY=USD,UNITS=AUTO,DATE=NOW')":null,"HCI^FE_TIMESERIES(CAPEX,MEAN,-6FY,-6FY,FY,'BKRACTMED=1,WIN=0,CURRENCY=USD,UNITS=AUTO,DATE=NOW')":null,"HCI^FE_TIMESERIES(CAPEX,MEAN,-7FY,-7FY,FY,'BKRACTMED=1,WIN=0,CURRENCY=USD,UNITS=AUTO,DATE=NOW')":null,"HCI^FE_TIMESERIES(CAPEX,MEAN,-8FY,-8FY,FY,'BKRACTMED=1,WIN=0,CURRENCY=USD,UNITS=AUTO,DATE=NOW')":null,"HCI^FE_TIMESERIES(CAPEX,MEAN,-9FY,-9FY,FY,'BKRACTMED=1,WIN=0,CURRENCY=USD,UNITS=AUTO,DATE=NOW')":null,"HCI^FE_TIMESERIES(CAPEX,MEAN,-10FY,-10FY,FY,'BKRACTMED=1,WIN=0,CURRENCY=USD,UNITS=AUTO,DATE=NOW')":1.196,"HCI^FE_TIMESERIES(CFO,MEAN,0FY,0FY,FY,'BKRACTMED=1,WIN=0,CURRENCY=USD,UNITS=AUTO,DATE=NOW')":null,"HCI^FE_TIMESERIES(CFO,MEAN,-1FY,-1FY,FY,'BKRACTMED=1,WIN=0,CURRENCY=USD,UNITS=AUTO,DATE=NOW')":null,"HCI^FE_TIMESERIES(CFO,MEAN,-2FY,-2FY,FY,'BKRACTMED=1,WIN=0,CURRENCY=USD,UNITS=AUTO,DATE=NOW')":null,"HCI^FE_TIMESERIES(CFO,MEAN,-3FY,-3FY,FY,'BKRACTMED=1,WIN=0,CURRENCY=USD,UNITS=AUTO,DATE=NOW')":null,"HCI^FE_TIMESERIES(CFO,MEAN,-4FY,-4FY,FY,'BKRACTMED=1,WIN=0,CURRENCY=USD,UNITS=AUTO,DATE=NOW')":null,"HCI^FE_TIMESERIES(CFO,MEAN,-5FY,-5FY,FY,'BKRACTMED=1,WIN=0,CURRENCY=USD,UNITS=AUTO,DATE=NOW')":null,"HCI^FE_TIMESERIES(CFO,MEAN,-6FY,-6FY,FY,'BKRACTMED=1,WIN=0,CURRENCY=USD,UNITS=AUTO,DATE=NOW')":null,"HCI^FE_TIMESERIES(CFO,MEAN,-7FY,-7FY,FY,'BKRACTMED=1,WIN=0,CURRENCY=USD,UNITS=AUTO,DATE=NOW')":null,"HCI^FE_TIMESERIES(CFO,MEAN,-8FY,-8FY,FY,'BKRACTMED=1,WIN=0,CURRENCY=USD,UNITS=AUTO,DATE=NOW')":null,"HCI^FE_TIMESERIES(CFO,MEAN,-9FY,-9FY,FY,'BKRACTMED=1,WIN=0,CURRENCY=USD,UNITS=AUTO,DATE=NOW')":null,"HCI^FE_TIMESERIES(CFO,MEAN,-10FY,-10FY,FY,'BKRACTMED=1,WIN=0,CURRENCY=USD,UNITS=AUTO,DATE=NOW')":106.266,"HCI^FE_TIMESERIES(DEPR_AMORT,MEAN,0FY,0FY,FY,'BKRACTMED=1,WIN=0,CURRENCY=USD,UNITS=AUTO,DATE=NOW')":null,"HCI^FE_TIMESERIES(DEPR_AMORT,MEAN,-1FY,-1FY,FY,'BKRACTMED=1,WIN=0,CURRENCY=USD,UNITS=AUTO,DATE=NOW')":null,"HCI^FE_TIMESERIES(DEPR_AMORT,MEAN,-2FY,-2FY,FY,'BKRACTMED=1,WIN=0,CURRENCY=USD,UNITS=AUTO,DATE=NOW')":null,"HCI^FE_TIMESERIES(DEPR_AMORT,MEAN,-3FY,-3FY,FY,'BKRACTMED=1,WIN=0,CURRENCY=USD,UNITS=AUTO,DATE=NOW')":null,"HCI^FE_TIMESERIES(DEPR_AMORT,MEAN,-4FY,-4FY,FY,'BKRACTMED=1,WIN=0,CURRENCY=USD,UNITS=AUTO,DATE=NOW')":null,"HCI^FE_TIMESERIES(DEPR_AMORT,MEAN,-5FY,-5FY,FY,'BKRACTMED=1,WIN=0,CURRENCY=USD,UNITS=AUTO,DATE=NOW')":null,"HCI^FE_TIMESERIES(DEPR_AMORT,MEAN,-6FY,-6FY,FY,'BKRACTMED=1,WIN=0,CURRENCY=USD,UNITS=AUTO,DATE=NOW')":null,"HCI^FE_TIMESERIES(DEPR_AMORT,MEAN,-7FY,-7FY,FY,'BKRACTMED=1,WIN=0,CURRENCY=USD,UNITS=AUTO,DATE=NOW')":null,"HCI^FE_TIMESERIES(DEPR_AMORT,MEAN,-8FY,-8FY,FY,'BKRACTMED=1,WIN=0,CURRENCY=USD,UNITS=AUTO,DATE=NOW')":null,"HCI^FE_TIMESERIES(DEPR_AMORT,MEAN,-9FY,-9FY,FY,'BKRACTMED=1,WIN=0,CURRENCY=USD,UNITS=AUTO,DATE=NOW')":null,"HCI^FE_TIMESERIES(DEPR_AMORT,MEAN,-10FY,-10FY,FY,'BKRACTMED=1,WIN=0,CURRENCY=USD,UNITS=AUTO,DATE=NOW')":null,"HCI^FE_TIMESERIES(NETPROFIT,MEAN,0FY,0FY,FY,'BKRACTMED=1,WIN=0,CURRENCY=USD,UNITS=AUTO,DATE=NOW')":-54.603,"HCI^FE_TIMESERIES(NETPROFIT,MEAN,-1FY,-1FY,FY,'BKRACTMED=1,WIN=0,CURRENCY=USD,UNITS=AUTO,DATE=NOW')":7.242,"HCI^FE_TIMESERIES(NETPROFIT,MEAN,-2FY,-2FY,FY,'BKRACTMED=1,WIN=0,CURRENCY=USD,UNITS=AUTO,DATE=NOW')":27.58,"HCI^FE_TIMESERIES(NETPROFIT,MEAN,-3FY,-3FY,FY,'BKRACTMED=1,WIN=0,CURRENCY=USD,UNITS=AUTO,DATE=NOW')":26.576,"HCI^FE_TIMESERIES(NETPROFIT,MEAN,-4FY,-4FY,FY,'BKRACTMED=1,WIN=0,CURRENCY=USD,UNITS=AUTO,DATE=NOW')":17.725,"HCI^FE_TIMESERIES(NETPROFIT,MEAN,-5FY,-5FY,FY,'BKRACTMED=1,WIN=0,CURRENCY=USD,UNITS=AUTO,DATE=NOW')":-6.893,"HCI^FE_TIMESERIES(NETPROFIT,MEAN,-6FY,-6FY,FY,'BKRACTMED=1,WIN=0,CURRENCY=USD,UNITS=AUTO,DATE=NOW')":29.021,"HCI^FE_TIMESERIES(NETPROFIT,MEAN,-7FY,-7FY,FY,'BKRACTMED=1,WIN=0,CURRENCY=USD,UNITS=AUTO,DATE=NOW')":65.861,"HCI^FE_TIMESERIES(NETPROFIT,MEAN,-8FY,-8FY,FY,'BKRACTMED=1,WIN=0,CURRENCY=USD,UNITS=AUTO,DATE=NOW')":62.664,"HCI^FE_TIMESERIES(NETPROFIT,MEAN,-9FY,-9FY,FY,'BKRACTMED=1,WIN=0,CURRENCY=USD,UNITS=AUTO,DATE=NOW')":65.458,"HCI^FE_TIMESERIES(NETPROFIT,MEAN,-10FY,-10FY,FY,'BKRACTMED=1,WIN=0,CURRENCY=USD,UNITS=AUTO,DATE=NOW')":29.835,"HCI^FE_TIMESERIES(SHEQUITY,MEAN,0FY,0FY,FY,'BKRACTMED=1,WIN=0,CURRENCY=USD,UNITS=AUTO,DATE=NOW')":162.596,"HCI^FE_TIMESERIES(SHEQUITY,MEAN,-1FY,-1FY,FY,'BKRACTMED=1,WIN=0,CURRENCY=USD,UNITS=AUTO,DATE=NOW')":null,"HCI^FE_TIMESERIES(SHEQUITY,MEAN,-2FY,-2FY,FY,'BKRACTMED=1,WIN=0,CURRENCY=USD,UNITS=AUTO,DATE=NOW')":null,"HCI^FE_TIMESERIES(SHEQUITY,MEAN,-3FY,-3FY,FY,'BKRACTMED=1,WIN=0,CURRENCY=USD,UNITS=AUTO,DATE=NOW')":null,"HCI^FE_TIMESERIES(SHEQUITY,MEAN,-4FY,-4FY,FY,'BKRACTMED=1,WIN=0,CURRENCY=USD,UNITS=AUTO,DATE=NOW')":null,"HCI^FE_TIMESERIES(SHEQUITY,MEAN,-5FY,-5FY,FY,'BKRACTMED=1,WIN=0,CURRENCY=USD,UNITS=AUTO,DATE=NOW')":null,"HCI^FE_TIMESERIES(SHEQUITY,MEAN,-6FY,-6FY,FY,'BKRACTMED=1,WIN=0,CURRENCY=USD,UNITS=AUTO,DATE=NOW')":null,"HCI^FE_TIMESERIES(SHEQUITY,MEAN,-7FY,-7FY,FY,'BKRACTMED=1,WIN=0,CURRENCY=USD,UNITS=AUTO,DATE=NOW')":null,"HCI^FE_TIMESERIES(SHEQUITY,MEAN,-8FY,-8FY,FY,'BKRACTMED=1,WIN=0,CURRENCY=USD,UNITS=AUTO,DATE=NOW')":null,"HCI^FE_TIMESERIES(SHEQUITY,MEAN,-9FY,-9FY,FY,'BKRACTMED=1,WIN=0,CURRENCY=USD,UNITS=AUTO,DATE=NOW')":160.5,"HCI^FE_TIMESERIES(SHEQUITY,MEAN,-10FY,-10FY,FY,'BKRACTMED=1,WIN=0,CURRENCY=USD,UNITS=AUTO,DATE=NOW')":120.755,"HCI^FE_TIMESERIES(TOTASSET,MEAN,0FY,0FY,FY,'BKRACTMED=1,WIN=0,CURRENCY=USD,UNITS=AUTO,DATE=NOW')":1803.328,"HCI^FE_TIMESERIES(TOTASSET,MEAN,-1FY,-1FY,FY,'BKRACTMED=1,WIN=0,CURRENCY=USD,UNITS=AUTO,DATE=NOW')":null,"HCI^FE_TIMESERIES(TOTASSET,MEAN,-2FY,-2FY,FY,'BKRACTMED=1,WIN=0,CURRENCY=USD,UNITS=AUTO,DATE=NOW')":null,"HCI^FE_TIMESERIES(TOTASSET,MEAN,-3FY,-3FY,FY,'BKRACTMED=1,WIN=0,CURRENCY=USD,UNITS=AUTO,DATE=NOW')":null,"HCI^FE_TIMESERIES(TOTASSET,MEAN,-4FY,-4FY,FY,'BKRACTMED=1,WIN=0,CURRENCY=USD,UNITS=AUTO,DATE=NOW')":null,"HCI^FE_TIMESERIES(TOTASSET,MEAN,-5FY,-5FY,FY,'BKRACTMED=1,WIN=0,CURRENCY=USD,UNITS=AUTO,DATE=NOW')":null,"HCI^FE_TIMESERIES(TOTASSET,MEAN,-6FY,-6FY,FY,'BKRACTMED=1,WIN=0,CURRENCY=USD,UNITS=AUTO,DATE=NOW')":null,"HCI^FE_TIMESERIES(TOTASSET,MEAN,-7FY,-7FY,FY,'BKRACTMED=1,WIN=0,CURRENCY=USD,UNITS=AUTO,DATE=NOW')":null,"HCI^FE_TIMESERIES(TOTASSET,MEAN,-8FY,-8FY,FY,'BKRACTMED=1,WIN=0,CURRENCY=USD,UNITS=AUTO,DATE=NOW')":null,"HCI^FE_TIMESERIES(TOTASSET,MEAN,-9FY,-9FY,FY,'BKRACTMED=1,WIN=0,CURRENCY=USD,UNITS=AUTO,DATE=NOW')":null,"HCI^FE_TIMESERIES(TOTASSET,MEAN,-10FY,-10FY,FY,'BKRACTMED=1,WIN=0,CURRENCY=USD,UNITS=AUTO,DATE=NOW')":338.288,"HCI^FE_TIMESERIES(CURRENTASSETS,MEAN,0FY,0FY,FY,'BKRACTMED=1,WIN=0,CURRENCY=USD,UNITS=AUTO,DATE=NOW')":null,"HCI^FE_TIMESERIES(CURRENTASSETS,MEAN,-1FY,-1FY,FY,'BKRACTMED=1,WIN=0,CURRENCY=USD,UNITS=AUTO,DATE=NOW')":null,"HCI^FE_TIMESERIES(CURRENTASSETS,MEAN,-2FY,-2FY,FY,'BKRACTMED=1,WIN=0,CURRENCY=USD,UNITS=AUTO,DATE=NOW')":null,"HCI^FE_TIMESERIES(CURRENTASSETS,MEAN,-3FY,-3FY,FY,'BKRACTMED=1,WIN=0,CURRENCY=USD,UNITS=AUTO,DATE=NOW')":null,"HCI^FE_TIMESERIES(CURRENTASSETS,MEAN,-4FY,-4FY,FY,'BKRACTMED=1,WIN=0,CURRENCY=USD,UNITS=AUTO,DATE=NOW')":null,"HCI^FE_TIMESERIES(CURRENTASSETS,MEAN,-5FY,-5FY,FY,'BKRACTMED=1,WIN=0,CURRENCY=USD,UNITS=AUTO,DATE=NOW')":null,"HCI^FE_TIMESERIES(CURRENTASSETS,MEAN,-6FY,-6FY,FY,'BKRACTMED=1,WIN=0,CURRENCY=USD,UNITS=AUTO,DATE=NOW')":null,"HCI^FE_TIMESERIES(CURRENTASSETS,MEAN,-7FY,-7FY,FY,'BKRACTMED=1,WIN=0,CURRENCY=USD,UNITS=AUTO,DATE=NOW')":null,"HCI^FE_TIMESERIES(CURRENTASSETS,MEAN,-8FY,-8FY,FY,'BKRACTMED=1,WIN=0,CURRENCY=USD,UNITS=AUTO,DATE=NOW')":null,"HCI^FE_TIMESERIES(CURRENTASSETS,MEAN,-9FY,-9FY,FY,'BKRACTMED=1,WIN=0,CURRENCY=USD,UNITS=AUTO,DATE=NOW')":null,"HCI^FE_TIMESERIES(CURRENTASSETS,MEAN,-10FY,-10FY,FY,'BKRACTMED=1,WIN=0,CURRENCY=USD,UNITS=AUTO,DATE=NOW')":null,"HCI^FE_TIMESERIES(INVENTORIES,MEAN,0FY,0FY,FY,'BKRACTMED=1,WIN=0,CURRENCY=USD,UNITS=AUTO,DATE=NOW')":null,"HCI^FE_TIMESERIES(INVENTORIES,MEAN,-1FY,-1FY,FY,'BKRACTMED=1,WIN=0,CURRENCY=USD,UNITS=AUTO,DATE=NOW')":null,"HCI^FE_TIMESERIES(INVENTORIES,MEAN,-2FY,-2FY,FY,'BKRACTMED=1,WIN=0,CURRENCY=USD,UNITS=AUTO,DATE=NOW')":null,"HCI^FE_TIMESERIES(INVENTORIES,MEAN,-3FY,-3FY,FY,'BKRACTMED=1,WIN=0,CURRENCY=USD,UNITS=AUTO,DATE=NOW')":null,"HCI^FE_TIMESERIES(INVENTORIES,MEAN,-4FY,-4FY,FY,'BKRACTMED=1,WIN=0,CURRENCY=USD,UNITS=AUTO,DATE=NOW')":null,"HCI^FE_TIMESERIES(INVENTORIES,MEAN,-5FY,-5FY,FY,'BKRACTMED=1,WIN=0,CURRENCY=USD,UNITS=AUTO,DATE=NOW')":null,"HCI^FE_TIMESERIES(INVENTORIES,MEAN,-6FY,-6FY,FY,'BKRACTMED=1,WIN=0,CURRENCY=USD,UNITS=AUTO,DATE=NOW')":null,"HCI^FE_TIMESERIES(INVENTORIES,MEAN,-7FY,-7FY,FY,'BKRACTMED=1,WIN=0,CURRENCY=USD,UNITS=AUTO,DATE=NOW')":null,"HCI^FE_TIMESERIES(INVENTORIES,MEAN,-8FY,-8FY,FY,'BKRACTMED=1,WIN=0,CURRENCY=USD,UNITS=AUTO,DATE=NOW')":null,"HCI^FE_TIMESERIES(INVENTORIES,MEAN,-9FY,-9FY,FY,'BKRACTMED=1,WIN=0,CURRENCY=USD,UNITS=AUTO,DATE=NOW')":null,"HCI^FE_TIMESERIES(INVENTORIES,MEAN,-10FY,-10FY,FY,'BKRACTMED=1,WIN=0,CURRENCY=USD,UNITS=AUTO,DATE=NOW')":null,"HCI^FE_TIMESERIES(RECEIV_NET,MEAN,0FY,0FY,FY,'BKRACTMED=1,WIN=0,CURRENCY=USD,UNITS=AUTO,DATE=NOW')":null,"HCI^FE_TIMESERIES(RECEIV_NET,MEAN,-1FY,-1FY,FY,'BKRACTMED=1,WIN=0,CURRENCY=USD,UNITS=AUTO,DATE=NOW')":null,"HCI^FE_TIMESERIES(RECEIV_NET,MEAN,-2FY,-2FY,FY,'BKRACTMED=1,WIN=0,CURRENCY=USD,UNITS=AUTO,DATE=NOW')":null,"HCI^FE_TIMESERIES(RECEIV_NET,MEAN,-3FY,-3FY,FY,'BKRACTMED=1,WIN=0,CURRENCY=USD,UNITS=AUTO,DATE=NOW')":null,"HCI^FE_TIMESERIES(RECEIV_NET,MEAN,-4FY,-4FY,FY,'BKRACTMED=1,WIN=0,CURRENCY=USD,UNITS=AUTO,DATE=NOW')":null,"HCI^FE_TIMESERIES(RECEIV_NET,MEAN,-5FY,-5FY,FY,'BKRACTMED=1,WIN=0,CURRENCY=USD,UNITS=AUTO,DATE=NOW')":null,"HCI^FE_TIMESERIES(RECEIV_NET,MEAN,-6FY,-6FY,FY,'BKRACTMED=1,WIN=0,CURRENCY=USD,UNITS=AUTO,DATE=NOW')":null,"HCI^FE_TIMESERIES(RECEIV_NET,MEAN,-7FY,-7FY,FY,'BKRACTMED=1,WIN=0,CURRENCY=USD,UNITS=AUTO,DATE=NOW')":null,"HCI^FE_TIMESERIES(RECEIV_NET,MEAN,-8FY,-8FY,FY,'BKRACTMED=1,WIN=0,CURRENCY=USD,UNITS=AUTO,DATE=NOW')":null,"HCI^FE_TIMESERIES(RECEIV_NET,MEAN,-9FY,-9FY,FY,'BKRACTMED=1,WIN=0,CURRENCY=USD,UNITS=AUTO,DATE=NOW')":null,"HCI^FE_TIMESERIES(RECEIV_NET,MEAN,-10FY,-10FY,FY,'BKRACTMED=1,WIN=0,CURRENCY=USD,UNITS=AUTO,DATE=NOW')":null,"HCI^FE_TIMESERIES(CASH_ST,MEAN,0FY,0FY,FY,'BKRACTMED=1,WIN=0,CURRENCY=USD,UNITS=AUTO,DATE=NOW')":null,"HCI^FE_TIMESERIES(CASH_ST,MEAN,-1FY,-1FY,FY,'BKRACTMED=1,WIN=0,CURRENCY=USD,UNITS=AUTO,DATE=NOW')":null,"HCI^FE_TIMESERIES(CASH_ST,MEAN,-2FY,-2FY,FY,'BKRACTMED=1,WIN=0,CURRENCY=USD,UNITS=AUTO,DATE=NOW')":null,"HCI^FE_TIMESERIES(CASH_ST,MEAN,-3FY,-3FY,FY,'BKRACTMED=1,WIN=0,CURRENCY=USD,UNITS=AUTO,DATE=NOW')":null,"HCI^FE_TIMESERIES(CASH_ST,MEAN,-4FY,-4FY,FY,'BKRACTMED=1,WIN=0,CURRENCY=USD,UNITS=AUTO,DATE=NOW')":null,"HCI^FE_TIMESERIES(CASH_ST,MEAN,-5FY,-5FY,FY,'BKRACTMED=1,WIN=0,CURRENCY=USD,UNITS=AUTO,DATE=NOW')":null,"HCI^FE_TIMESERIES(CASH_ST,MEAN,-6FY,-6FY,FY,'BKRACTMED=1,WIN=0,CURRENCY=USD,UNITS=AUTO,DATE=NOW')":null,"HCI^FE_TIMESERIES(CASH_ST,MEAN,-7FY,-7FY,FY,'BKRACTMED=1,WIN=0,CURRENCY=USD,UNITS=AUTO,DATE=NOW')":null,"HCI^FE_TIMESERIES(CASH_ST,MEAN,-8FY,-8FY,FY,'BKRACTMED=1,WIN=0,CURRENCY=USD,UNITS=AUTO,DATE=NOW')":null,"HCI^FE_TIMESERIES(CASH_ST,MEAN,-9FY,-9FY,FY,'BKRACTMED=1,WIN=0,CURRENCY=USD,UNITS=AUTO,DATE=NOW')":null,"HCI^FE_TIMESERIES(CASH_ST,MEAN,-10FY,-10FY,FY,'BKRACTMED=1,WIN=0,CURRENCY=USD,UNITS=AUTO,DATE=NOW')":null,"HCI^FE_TIMESERIES(EPS,MEAN,0FY,0FY,FY,'BKRACTMED=1,WIN=0,CURRENCY=USD,UNITS=AUTO,DATE=NOW')":-5.48,"HCI^FE_TIMESERIES(EPS,MEAN,-1FY,-1FY,FY,'BKRACTMED=1,WIN=0,CURRENCY=USD,UNITS=AUTO,DATE=NOW')":0.1,"HCI^FE_TIMESERIES(EPS,MEAN,-2FY,-2FY,FY,'BKRACTMED=1,WIN=0,CURRENCY=USD,UNITS=AUTO,DATE=NOW')":3.44,"HCI^FE_TIMESERIES(EPS,MEAN,-3FY,-3FY,FY,'BKRACTMED=1,WIN=0,CURRENCY=USD,UNITS=AUTO,DATE=NOW')":2.57,"HCI^FE_TIMESERIES(EPS,MEAN,-4FY,-4FY,FY,'BKRACTMED=1,WIN=0,CURRENCY=USD,UNITS=AUTO,DATE=NOW')":3.23,"HCI^FE_TIMESERIES(EPS,MEAN,-5FY,-5FY,FY,'BKRACTMED=1,WIN=0,CURRENCY=USD,UNITS=AUTO,DATE=NOW')":-0.958621,"HCI^FE_TIMESERIES(EPS,MEAN,-6FY,-6FY,FY,'BKRACTMED=1,WIN=0,CURRENCY=USD,UNITS=AUTO,DATE=NOW')":2.7579,"HCI^FE_TIMESERIES(EPS,MEAN,-7FY,-7FY,FY,'BKRACTMED=1,WIN=0,CURRENCY=USD,UNITS=AUTO,DATE=NOW')":5.93378,"HCI^FE_TIMESERIES(EPS,MEAN,-8FY,-8FY,FY,'BKRACTMED=1,WIN=0,CURRENCY=USD,UNITS=AUTO,DATE=NOW')":5.10863,"HCI^FE_TIMESERIES(EPS,MEAN,-9FY,-9FY,FY,'BKRACTMED=1,WIN=0,CURRENCY=USD,UNITS=AUTO,DATE=NOW')":5.63,"HCI^FE_TIMESERIES(EPS,MEAN,-10FY,-10FY,FY,'BKRACTMED=1,WIN=0,CURRENCY=USD,UNITS=AUTO,DATE=NOW')":3.02,"HCI^FE_TIMESERIES(TAX_EXPENSE,MEAN,0FY,0FY,FY,'BKRACTMED=1,WIN=0,CURRENCY=USD,UNITS=AUTO,DATE=NOW')":-13.4865,"HCI^FE_TIMESERIES(TAX_EXPENSE,MEAN,-1FY,-1FY,FY,'BKRACTMED=1,WIN=0,CURRENCY=USD,UNITS=AUTO,DATE=NOW')":3.991,"HCI^FE_TIMESERIES(TAX_EXPENSE,MEAN,-2FY,-2FY,FY,'BKRACTMED=1,WIN=0,CURRENCY=USD,UNITS=AUTO,DATE=NOW')":9.348,"HCI^FE_TIMESERIES(TAX_EXPENSE,MEAN,-3FY,-3FY,FY,'BKRACTMED=1,WIN=0,CURRENCY=USD,UNITS=AUTO,DATE=NOW')":9.517,"HCI^FE_TIMESERIES(TAX_EXPENSE,MEAN,-4FY,-4FY,FY,'BKRACTMED=1,WIN=0,CURRENCY=USD,UNITS=AUTO,DATE=NOW')":9.177,"HCI^FE_TIMESERIES(TAX_EXPENSE,MEAN,-5FY,-5FY,FY,'BKRACTMED=1,WIN=0,CURRENCY=USD,UNITS=AUTO,DATE=NOW')":-8.031,"HCI^FE_TIMESERIES(TAX_EXPENSE,MEAN,-6FY,-6FY,FY,'BKRACTMED=1,WIN=0,CURRENCY=USD,UNITS=AUTO,DATE=NOW')":17.835,"HCI^FE_TIMESERIES(TAX_EXPENSE,MEAN,-7FY,-7FY,FY,'BKRACTMED=1,WIN=0,CURRENCY=USD,UNITS=AUTO,DATE=NOW')":40.331,"HCI^FE_TIMESERIES(TAX_EXPENSE,MEAN,-8FY,-8FY,FY,'BKRACTMED=1,WIN=0,CURRENCY=USD,UNITS=AUTO,DATE=NOW')":38.298,"HCI^FE_TIMESERIES(TAX_EXPENSE,MEAN,-9FY,-9FY,FY,'BKRACTMED=1,WIN=0,CURRENCY=USD,UNITS=AUTO,DATE=NOW')":40.891,"HCI^FE_TIMESERIES(TAX_EXPENSE,MEAN,-10FY,-10FY,FY,'BKRACTMED=1,WIN=0,CURRENCY=USD,UNITS=AUTO,DATE=NOW')":19.423,"HCI^FE_TIMESERIES(PTP,MEAN,0FY,0FY,FY,'BKRACTMED=1,WIN=0,CURRENCY=USD,UNITS=AUTO,DATE=NOW')":-64.8415,"HCI^FE_TIMESERIES(PTP,MEAN,-1FY,-1FY,FY,'BKRACTMED=1,WIN=0,CURRENCY=USD,UNITS=AUTO,DATE=NOW')":10.351,"HCI^FE_TIMESERIES(PTP,MEAN,-2FY,-2FY,FY,'BKRACTMED=1,WIN=0,CURRENCY=USD,UNITS=AUTO,DATE=NOW')":37.524,"HCI^FE_TIMESERIES(PTP,MEAN,-3FY,-3FY,FY,'BKRACTMED=1,WIN=0,CURRENCY=USD,UNITS=AUTO,DATE=NOW')":36.093,"HCI^FE_TIMESERIES(PTP,MEAN,-4FY,-4FY,FY,'BKRACTMED=1,WIN=0,CURRENCY=USD,UNITS=AUTO,DATE=NOW')":29.154,"HCI^FE_TIMESERIES(PTP,MEAN,-5FY,-5FY,FY,'BKRACTMED=1,WIN=0,CURRENCY=USD,UNITS=AUTO,DATE=NOW')":-15.624,"HCI^FE_TIMESERIES(PTP,MEAN,-6FY,-6FY,FY,'BKRACTMED=1,WIN=0,CURRENCY=USD,UNITS=AUTO,DATE=NOW')":46.856,"HCI^FE_TIMESERIES(PTP,MEAN,-7FY,-7FY,FY,'BKRACTMED=1,WIN=0,CURRENCY=USD,UNITS=AUTO,DATE=NOW')":106.192,"HCI^FE_TIMESERIES(PTP,MEAN,-8FY,-8FY,FY,'BKRACTMED=1,WIN=0,CURRENCY=USD,UNITS=AUTO,DATE=NOW')":100.962,"HCI^FE_TIMESERIES(PTP,MEAN,-9FY,-9FY,FY,'BKRACTMED=1,WIN=0,CURRENCY=USD,UNITS=AUTO,DATE=NOW')":106.4765,"HCI^FE_TIMESERIES(PTP,MEAN,-10FY,-10FY,FY,'BKRACTMED=1,WIN=0,CURRENCY=USD,UNITS=AUTO,DATE=NOW')":49.58,"HCI^FE_TIMESERIES(INTEXP,MEAN,0FY,0FY,FY,'BKRACTMED=1,WIN=0,CURRENCY=USD,UNITS=AUTO,DATE=NOW')":7.768,"HCI^FE_TIMESERIES(INTEXP,MEAN,-1FY,-1FY,FY,'BKRACTMED=1,WIN=0,CURRENCY=USD,UNITS=AUTO,DATE=NOW')":6.4,"HCI^FE_TIMESERIES(INTEXP,MEAN,-2FY,-2FY,FY,'BKRACTMED=1,WIN=0,CURRENCY=USD,UNITS=AUTO,DATE=NOW')":11.734,"HCI^FE_TIMESERIES(INTEXP,MEAN,-3FY,-3FY,FY,'BKRACTMED=1,WIN=0,CURRENCY=USD,UNITS=AUTO,DATE=NOW')":13.055,"HCI^FE_TIMESERIES(INTEXP,MEAN,-4FY,-4FY,FY,'BKRACTMED=1,WIN=0,CURRENCY=USD,UNITS=AUTO,DATE=NOW')":17.4365,"HCI^FE_TIMESERIES(INTEXP,MEAN,-5FY,-5FY,FY,'BKRACTMED=1,WIN=0,CURRENCY=USD,UNITS=AUTO,DATE=NOW')":16.767,"HCI^FE_TIMESERIES(INTEXP,MEAN,-6FY,-6FY,FY,'BKRACTMED=1,WIN=0,CURRENCY=USD,UNITS=AUTO,DATE=NOW')":11.079,"HCI^FE_TIMESERIES(INTEXP,MEAN,-7FY,-7FY,FY,'BKRACTMED=1,WIN=0,CURRENCY=USD,UNITS=AUTO,DATE=NOW')":10.754,"HCI^FE_TIMESERIES(INTEXP,MEAN,-8FY,-8FY,FY,'BKRACTMED=1,WIN=0,CURRENCY=USD,UNITS=AUTO,DATE=NOW')":10.453,"HCI^FE_TIMESERIES(INTEXP,MEAN,-9FY,-9FY,FY,'BKRACTMED=1,WIN=0,CURRENCY=USD,UNITS=AUTO,DATE=NOW')":3.6035,"HCI^FE_TIMESERIES(INTEXP,MEAN,-10FY,-10FY,FY,'BKRACTMED=1,WIN=0,CURRENCY=USD,UNITS=AUTO,DATE=NOW')":null,"HCI^FE_TIMESERIES(EBIT,MEAN,0FY,0FY,FY,'BKRACTMED=1,WIN=0,CURRENCY=USD,UNITS=AUTO,DATE=NOW')":-52.5,"HCI^FE_TIMESERIES(EBIT,MEAN,-1FY,-1FY,FY,'BKRACTMED=1,WIN=0,CURRENCY=USD,UNITS=AUTO,DATE=NOW')":2.4,"HCI^FE_TIMESERIES(EBIT,MEAN,-2FY,-2FY,FY,'BKRACTMED=1,WIN=0,CURRENCY=USD,UNITS=AUTO,DATE=NOW')":28.6,"HCI^FE_TIMESERIES(EBIT,MEAN,-3FY,-3FY,FY,'BKRACTMED=1,WIN=0,CURRENCY=USD,UNITS=AUTO,DATE=NOW')":21.8,"HCI^FE_TIMESERIES(EBIT,MEAN,-4FY,-4FY,FY,'BKRACTMED=1,WIN=0,CURRENCY=USD,UNITS=AUTO,DATE=NOW')":33.6,"HCI^FE_TIMESERIES(EBIT,MEAN,-5FY,-5FY,FY,'BKRACTMED=1,WIN=0,CURRENCY=USD,UNITS=AUTO,DATE=NOW')":-3.7,"HCI^FE_TIMESERIES(EBIT,MEAN,-6FY,-6FY,FY,'BKRACTMED=1,WIN=0,CURRENCY=USD,UNITS=AUTO,DATE=NOW')":25.3,"HCI^FE_TIMESERIES(EBIT,MEAN,-7FY,-7FY,FY,'BKRACTMED=1,WIN=0,CURRENCY=USD,UNITS=AUTO,DATE=NOW')":69.3,"HCI^FE_TIMESERIES(EBIT,MEAN,-8FY,-8FY,FY,'BKRACTMED=1,WIN=0,CURRENCY=USD,UNITS=AUTO,DATE=NOW')":59.6,"HCI^FE_TIMESERIES(EBIT,MEAN,-9FY,-9FY,FY,'BKRACTMED=1,WIN=0,CURRENCY=USD,UNITS=AUTO,DATE=NOW')":null,"HCI^FE_TIMESERIES(EBIT,MEAN,-10FY,-10FY,FY,'BKRACTMED=1,WIN=0,CURRENCY=USD,UNITS=AUTO,DATE=NOW')":null,"HCI^FE_TIMESERIES(GROSSINCOME,MEAN,0FY,0FY,FY,'BKRACTMED=1,WIN=0,CURRENCY=USD,UNITS=AUTO,DATE=NOW')":null,"HCI^FE_TIMESERIES(GROSSINCOME,MEAN,-1FY,-1FY,FY,'BKRACTMED=1,WIN=0,CURRENCY=USD,UNITS=AUTO,DATE=NOW')":null,"HCI^FE_TIMESERIES(GROSSINCOME,MEAN,-2FY,-2FY,FY,'BKRACTMED=1,WIN=0,CURRENCY=USD,UNITS=AUTO,DATE=NOW')":null,"HCI^FE_TIMESERIES(GROSSINCOME,MEAN,-3FY,-3FY,FY,'BKRACTMED=1,WIN=0,CURRENCY=USD,UNITS=AUTO,DATE=NOW')":null,"HCI^FE_TIMESERIES(GROSSINCOME,MEAN,-4FY,-4FY,FY,'BKRACTMED=1,WIN=0,CURRENCY=USD,UNITS=AUTO,DATE=NOW')":null,"HCI^FE_TIMESERIES(GROSSINCOME,MEAN,-5FY,-5FY,FY,'BKRACTMED=1,WIN=0,CURRENCY=USD,UNITS=AUTO,DATE=NOW')":null,"HCI^FE_TIMESERIES(GROSSINCOME,MEAN,-6FY,-6FY,FY,'BKRACTMED=1,WIN=0,CURRENCY=USD,UNITS=AUTO,DATE=NOW')":null,"HCI^FE_TIMESERIES(GROSSINCOME,MEAN,-7FY,-7FY,FY,'BKRACTMED=1,WIN=0,CURRENCY=USD,UNITS=AUTO,DATE=NOW')":null,"HCI^FE_TIMESERIES(GROSSINCOME,MEAN,-8FY,-8FY,FY,'BKRACTMED=1,WIN=0,CURRENCY=USD,UNITS=AUTO,DATE=NOW')":null,"HCI^FE_TIMESERIES(GROSSINCOME,MEAN,-9FY,-9FY,FY,'BKRACTMED=1,WIN=0,CURRENCY=USD,UNITS=AUTO,DATE=NOW')":null,"HCI^FE_TIMESERIES(GROSSINCOME,MEAN,-10FY,-10FY,FY,'BKRACTMED=1,WIN=0,CURRENCY=USD,UNITS=AUTO,DATE=NOW')":null,"HCI^FE_TIMESERIES(SALES,MEAN,0FY,0FY,FY,'BKRACTMED=1,WIN=0,CURRENCY=USD,UNITS=AUTO,DATE=NOW')":499.563,"HCI^FE_TIMESERIES(SALES,MEAN,-1FY,-1FY,FY,'BKRACTMED=1,WIN=0,CURRENCY=USD,UNITS=AUTO,DATE=NOW')":407.915,"HCI^FE_TIMESERIES(SALES,MEAN,-2FY,-2FY,FY,'BKRACTMED=1,WIN=0,CURRENCY=USD,UNITS=AUTO,DATE=NOW')":310.437,"HCI^FE_TIMESERIES(SALES,MEAN,-3FY,-3FY,FY,'BKRACTMED=1,WIN=0,CURRENCY=USD,UNITS=AUTO,DATE=NOW')":242.474,"HCI^FE_TIMESERIES(SALES,MEAN,-4FY,-4FY,FY,'BKRACTMED=1,WIN=0,CURRENCY=USD,UNITS=AUTO,DATE=NOW')":231.292,"HCI^FE_TIMESERIES(SALES,MEAN,-5FY,-5FY,FY,'BKRACTMED=1,WIN=0,CURRENCY=USD,UNITS=AUTO,DATE=NOW')":244.406,"HCI^FE_TIMESERIES(SALES,MEAN,-6FY,-6FY,FY,'BKRACTMED=1,WIN=0,CURRENCY=USD,UNITS=AUTO,DATE=NOW')":264.446,"HCI^FE_TIMESERIES(SALES,MEAN,-7FY,-7FY,FY,'BKRACTMED=1,WIN=0,CURRENCY=USD,UNITS=AUTO,DATE=NOW')":285.952,"HCI^FE_TIMESERIES(SALES,MEAN,-8FY,-8FY,FY,'BKRACTMED=1,WIN=0,CURRENCY=USD,UNITS=AUTO,DATE=NOW')":266.108,"HCI^FE_TIMESERIES(SALES,MEAN,-9FY,-9FY,FY,'BKRACTMED=1,WIN=0,CURRENCY=USD,UNITS=AUTO,DATE=NOW')":241.088,"HCI^FE_TIMESERIES(SALES,MEAN,-10FY,-10FY,FY,'BKRACTMED=1,WIN=0,CURRENCY=USD,UNITS=AUTO,DATE=NOW')":233.607,"HCI^CONVERT_DATE(FF_FISCAL_DATE(ANN_R,0FY,0FY,,,\"\",\"DATEJ\"),\"MM/YYYY\")":"12/2022","HCI^CONVERT_DATE(FF_FISCAL_DATE(ANN_R,-1FY,-1FY,,,\"\",\"DATEJ\"),\"MM/YYYY\")":"12/2021","HCI^CONVERT_DATE(FF_FISCAL_DATE(ANN_R,-2FY,-2FY,,,\"\",\"DATEJ\"),\"MM/YYYY\")":"12/2020","HCI^CONVERT_DATE(FF_FISCAL_DATE(ANN_R,-3FY,-3FY,,,\"\",\"DATEJ\"),\"MM/YYYY\")":"12/2019","HCI^CONVERT_DATE(FF_FISCAL_DATE(ANN_R,-4FY,-4FY,,,\"\",\"DATEJ\"),\"MM/YYYY\")":"12/2018","HCI^CONVERT_DATE(FF_FISCAL_DATE(ANN_R,-5FY,-5FY,,,\"\",\"DATEJ\"),\"MM/YYYY\")":"12/2017","HCI^CONVERT_DATE(FF_FISCAL_DATE(ANN_R,-6FY,-6FY,,,\"\",\"DATEJ\"),\"MM/YYYY\")":"12/2016","HCI^CONVERT_DATE(FF_FISCAL_DATE(ANN_R,-7FY,-7FY,,,\"\",\"DATEJ\"),\"MM/YYYY\")":"12/2015","HCI^CONVERT_DATE(FF_FISCAL_DATE(ANN_R,-8FY,-8FY,,,\"\",\"DATEJ\"),\"MM/YYYY\")":"12/2014","HCI^CONVERT_DATE(FF_FISCAL_DATE(ANN_R,-9FY,-9FY,,,\"\",\"DATEJ\"),\"MM/YYYY\")":"12/2013","HCI^CONVERT_DATE(FF_FISCAL_DATE(ANN_R,-10FY,-10FY,,,\"\",\"DATEJ\"),\"MM/YYYY\")":"12/2012","HCI^FE_TIMESERIES(TOTALDEBT,MEAN,0FY,0FY,FY,'BKRACTMED=1,WIN=0,CURRENCY=USD,UNITS=AUTO,DATE=NOW')":null,"HCI^FE_TIMESERIES(TOTALDEBT,MEAN,-1FY,-1FY,FY,'BKRACTMED=1,WIN=0,CURRENCY=USD,UNITS=AUTO,DATE=NOW')":null,"HCI^FE_TIMESERIES(TOTALDEBT,MEAN,-2FY,-2FY,FY,'BKRACTMED=1,WIN=0,CURRENCY=USD,UNITS=AUTO,DATE=NOW')":null,"HCI^FE_TIMESERIES(TOTALDEBT,MEAN,-3FY,-3FY,FY,'BKRACTMED=1,WIN=0,CURRENCY=USD,UNITS=AUTO,DATE=NOW')":null,"HCI^FE_TIMESERIES(TOTALDEBT,MEAN,-4FY,-4FY,FY,'BKRACTMED=1,WIN=0,CURRENCY=USD,UNITS=AUTO,DATE=NOW')":null,"HCI^FE_TIMESERIES(TOTALDEBT,MEAN,-5FY,-5FY,FY,'BKRACTMED=1,WIN=0,CURRENCY=USD,UNITS=AUTO,DATE=NOW')":null,"HCI^FE_TIMESERIES(TOTALDEBT,MEAN,-6FY,-6FY,FY,'BKRACTMED=1,WIN=0,CURRENCY=USD,UNITS=AUTO,DATE=NOW')":null,"HCI^FE_TIMESERIES(TOTALDEBT,MEAN,-7FY,-7FY,FY,'BKRACTMED=1,WIN=0,CURRENCY=USD,UNITS=AUTO,DATE=NOW')":null,"HCI^FE_TIMESERIES(TOTALDEBT,MEAN,-8FY,-8FY,FY,'BKRACTMED=1,WIN=0,CURRENCY=USD,UNITS=AUTO,DATE=NOW')":null,"HCI^FE_TIMESERIES(TOTALDEBT,MEAN,-9FY,-9FY,FY,'BKRACTMED=1,WIN=0,CURRENCY=USD,UNITS=AUTO,DATE=NOW')":null,"HCI^FE_TIMESERIES(TOTALDEBT,MEAN,-10FY,-10FY,FY,'BKRACTMED=1,WIN=0,CURRENCY=USD,UNITS=AUTO,DATE=NOW')":null,"HCI^FE_TIMESERIES(DEBT_LT,MEAN,0FY,0FY,FY,'BKRACTMED=1,WIN=0,CURRENCY=USD,UNITS=AUTO,DATE=NOW')":null,"HCI^FE_TIMESERIES(DEBT_LT,MEAN,-1FY,-1FY,FY,'BKRACTMED=1,WIN=0,CURRENCY=USD,UNITS=AUTO,DATE=NOW')":null,"HCI^FE_TIMESERIES(DEBT_LT,MEAN,-2FY,-2FY,FY,'BKRACTMED=1,WIN=0,CURRENCY=USD,UNITS=AUTO,DATE=NOW')":null,"HCI^FE_TIMESERIES(DEBT_LT,MEAN,-3FY,-3FY,FY,'BKRACTMED=1,WIN=0,CURRENCY=USD,UNITS=AUTO,DATE=NOW')":null,"HCI^FE_TIMESERIES(DEBT_LT,MEAN,-4FY,-4FY,FY,'BKRACTMED=1,WIN=0,CURRENCY=USD,UNITS=AUTO,DATE=NOW')":null,"HCI^FE_TIMESERIES(DEBT_LT,MEAN,-5FY,-5FY,FY,'BKRACTMED=1,WIN=0,CURRENCY=USD,UNITS=AUTO,DATE=NOW')":null,"HCI^FE_TIMESERIES(DEBT_LT,MEAN,-6FY,-6FY,FY,'BKRACTMED=1,WIN=0,CURRENCY=USD,UNITS=AUTO,DATE=NOW')":null,"HCI^FE_TIMESERIES(DEBT_LT,MEAN,-7FY,-7FY,FY,'BKRACTMED=1,WIN=0,CURRENCY=USD,UNITS=AUTO,DATE=NOW')":null,"HCI^FE_TIMESERIES(DEBT_LT,MEAN,-8FY,-8FY,FY,'BKRACTMED=1,WIN=0,CURRENCY=USD,UNITS=AUTO,DATE=NOW')":null,"HCI^FE_TIMESERIES(DEBT_LT,MEAN,-9FY,-9FY,FY,'BKRACTMED=1,WIN=0,CURRENCY=USD,UNITS=AUTO,DATE=NOW')":null,"HCI^FE_TIMESERIES(DEBT_LT,MEAN,-10FY,-10FY,FY,'BKRACTMED=1,WIN=0,CURRENCY=USD,UNITS=AUTO,DATE=NOW')":null,"HCI^FE_TIMESERIES(DEBT_ST,MEAN,0FY,0FY,FY,'BKRACTMED=1,WIN=0,CURRENCY=USD,UNITS=AUTO,DATE=NOW')":null,"HCI^FE_TIMESERIES(DEBT_ST,MEAN,-1FY,-1FY,FY,'BKRACTMED=1,WIN=0,CURRENCY=USD,UNITS=AUTO,DATE=NOW')":null,"HCI^FE_TIMESERIES(DEBT_ST,MEAN,-2FY,-2FY,FY,'BKRACTMED=1,WIN=0,CURRENCY=USD,UNITS=AUTO,DATE=NOW')":null,"HCI^FE_TIMESERIES(DEBT_ST,MEAN,-3FY,-3FY,FY,'BKRACTMED=1,WIN=0,CURRENCY=USD,UNITS=AUTO,DATE=NOW')":null,"HCI^FE_TIMESERIES(DEBT_ST,MEAN,-4FY,-4FY,FY,'BKRACTMED=1,WIN=0,CURRENCY=USD,UNITS=AUTO,DATE=NOW')":null,"HCI^FE_TIMESERIES(DEBT_ST,MEAN,-5FY,-5FY,FY,'BKRACTMED=1,WIN=0,CURRENCY=USD,UNITS=AUTO,DATE=NOW')":null,"HCI^FE_TIMESERIES(DEBT_ST,MEAN,-6FY,-6FY,FY,'BKRACTMED=1,WIN=0,CURRENCY=USD,UNITS=AUTO,DATE=NOW')":null,"HCI^FE_TIMESERIES(DEBT_ST,MEAN,-7FY,-7FY,FY,'BKRACTMED=1,WIN=0,CURRENCY=USD,UNITS=AUTO,DATE=NOW')":null,"HCI^FE_TIMESERIES(DEBT_ST,MEAN,-8FY,-8FY,FY,'BKRACTMED=1,WIN=0,CURRENCY=USD,UNITS=AUTO,DATE=NOW')":null,"HCI^FE_TIMESERIES(DEBT_ST,MEAN,-9FY,-9FY,FY,'BKRACTMED=1,WIN=0,CURRENCY=USD,UNITS=AUTO,DATE=NOW')":null,"HCI^FE_TIMESERIES(DEBT_ST,MEAN,-10FY,-10FY,FY,'BKRACTMED=1,WIN=0,CURRENCY=USD,UNITS=AUTO,DATE=NOW')":null,"HCI^FE_TIMESERIES(CURRENTLIABILITIES,MEAN,0FY,0FY,FY,'BKRACTMED=1,WIN=0,CURRENCY=USD,UNITS=AUTO,DATE=NOW')":null,"HCI^FE_TIMESERIES(CURRENTLIABILITIES,MEAN,-1FY,-1FY,FY,'BKRACTMED=1,WIN=0,CURRENCY=USD,UNITS=AUTO,DATE=NOW')":null,"HCI^FE_TIMESERIES(CURRENTLIABILITIES,MEAN,-2FY,-2FY,FY,'BKRACTMED=1,WIN=0,CURRENCY=USD,UNITS=AUTO,DATE=NOW')":null,"HCI^FE_TIMESERIES(CURRENTLIABILITIES,MEAN,-3FY,-3FY,FY,'BKRACTMED=1,WIN=0,CURRENCY=USD,UNITS=AUTO,DATE=NOW')":null,"HCI^FE_TIMESERIES(CURRENTLIABILITIES,MEAN,-4FY,-4FY,FY,'BKRACTMED=1,WIN=0,CURRENCY=USD,UNITS=AUTO,DATE=NOW')":null,"HCI^FE_TIMESERIES(CURRENTLIABILITIES,MEAN,-5FY,-5FY,FY,'BKRACTMED=1,WIN=0,CURRENCY=USD,UNITS=AUTO,DATE=NOW')":null,"HCI^FE_TIMESERIES(CURRENTLIABILITIES,MEAN,-6FY,-6FY,FY,'BKRACTMED=1,WIN=0,CURRENCY=USD,UNITS=AUTO,DATE=NOW')":null,"HCI^FE_TIMESERIES(CURRENTLIABILITIES,MEAN,-7FY,-7FY,FY,'BKRACTMED=1,WIN=0,CURRENCY=USD,UNITS=AUTO,DATE=NOW')":null,"HCI^FE_TIMESERIES(CURRENTLIABILITIES,MEAN,-8FY,-8FY,FY,'BKRACTMED=1,WIN=0,CURRENCY=USD,UNITS=AUTO,DATE=NOW')":null,"HCI^FE_TIMESERIES(CURRENTLIABILITIES,MEAN,-9FY,-9FY,FY,'BKRACTMED=1,WIN=0,CURRENCY=USD,UNITS=AUTO,DATE=NOW')":null,"HCI^FE_TIMESERIES(CURRENTLIABILITIES,MEAN,-10FY,-10FY,FY,'BKRACTMED=1,WIN=0,CURRENCY=USD,UNITS=AUTO,DATE=NOW')":null,"HCI^FE_TIMESERIES(PAY_ACCT,MEAN,0FY,0FY,FY,'BKRACTMED=1,WIN=0,CURRENCY=USD,UNITS=AUTO,DATE=NOW')":null,"HCI^FE_TIMESERIES(PAY_ACCT,MEAN,-1FY,-1FY,FY,'BKRACTMED=1,WIN=0,CURRENCY=USD,UNITS=AUTO,DATE=NOW')":null,"HCI^FE_TIMESERIES(PAY_ACCT,MEAN,-2FY,-2FY,FY,'BKRACTMED=1,WIN=0,CURRENCY=USD,UNITS=AUTO,DATE=NOW')":null,"HCI^FE_TIMESERIES(PAY_ACCT,MEAN,-3FY,-3FY,FY,'BKRACTMED=1,WIN=0,CURRENCY=USD,UNITS=AUTO,DATE=NOW')":null,"HCI^FE_TIMESERIES(PAY_ACCT,MEAN,-4FY,-4FY,FY,'BKRACTMED=1,WIN=0,CURRENCY=USD,UNITS=AUTO,DATE=NOW')":null,"HCI^FE_TIMESERIES(PAY_ACCT,MEAN,-5FY,-5FY,FY,'BKRACTMED=1,WIN=0,CURRENCY=USD,UNITS=AUTO,DATE=NOW')":null,"HCI^FE_TIMESERIES(PAY_ACCT,MEAN,-6FY,-6FY,FY,'BKRACTMED=1,WIN=0,CURRENCY=USD,UNITS=AUTO,DATE=NOW')":null,"HCI^FE_TIMESERIES(PAY_ACCT,MEAN,-7FY,-7FY,FY,'BKRACTMED=1,WIN=0,CURRENCY=USD,UNITS=AUTO,DATE=NOW')":null,"HCI^FE_TIMESERIES(PAY_ACCT,MEAN,-8FY,-8FY,FY,'BKRACTMED=1,WIN=0,CURRENCY=USD,UNITS=AUTO,DATE=NOW')":null,"HCI^FE_TIMESERIES(PAY_ACCT,MEAN,-9FY,-9FY,FY,'BKRACTMED=1,WIN=0,CURRENCY=USD,UNITS=AUTO,DATE=NOW')":null,"HCI^FE_TIMESERIES(PAY_ACCT,MEAN,-10FY,-10FY,FY,'BKRACTMED=1,WIN=0,CURRENCY=USD,UNITS=AUTO,DATE=NOW')":null,"HCI^FF_FREE_CF(LTM_R,0,,,,LOCAL)@FF_FREE_CF(LTM_SEMI_R,0,,,,LOCAL)":-28.404,"HCI^FF_CHG_CASH_CF(LTM_R,0,,,,LOCAL)@FF_CHG_CASH_CF(LTM_SEMI_R,0,,,,LOCAL)":-66.11,"HCI^FF_FOR_EXCH_CF(LTM_R,0,,,,LOCAL)@FF_FOR_EXCH_CF(LTM_SEMI_R,0,,,,LOCAL)":-0.044,"HCI^FF_FIN_CF(LTM_R,0,,,,LOCAL)@FF_FIN_CF(LTM_SEMI_R,0,,,,LOCAL)":-35.347,"HCI^FF_DIV_COM_CF(LTM_R,0,,,,LOCAL)@FF_DIV_COM_CF(LTM_SEMI_R,0,,,,LOCAL)":13.934,"HCI^FF_INVEST_CF(LTM_R,0,,,,LOCAL)@FF_INVEST_CF(LTM_SEMI_R,0,,,,LOCAL)":-21.123,"HCI^FF_CAPEX_FIX(LTM_R,0,,,,LOCAL)@FF_CAPEX_FIX(LTM_SEMI_R,0,,,,LOCAL)":4.874,"HCI^FF_OPER_CF(LTM_R,0,,,,LOCAL)@FF_OPER_CF(LTM_SEMI_R,0,,,,LOCAL)":-9.596,"HCI^FF_FUNDS_OPER_GROSS(LTM_R,0,,,,LOCAL)@FF_FUNDS_OPER_GROSS(LTM_SEMI_R,0,,,,LOCAL)":-18.521,"HCI^FE_ESTIMATE(FCF,MEDIAN,ANNUAL_ROLL,+3,0,,,'CURRENCY=LOCAL')":null,"HCI^FE_ESTIMATE(FCF,MEDIAN,ANNUAL_ROLL,+2,0,,,'CURRENCY=LOCAL')":null,"HCI^FE_ESTIMATE(FCF,MEDIAN,ANNUAL_ROLL,+1,0,,,'CURRENCY=LOCAL')":null,"HCI^FE_ESTIMATE(CF_FIN,MEDIAN,ANNUAL_ROLL,+3,0,,,'CURRENCY=LOCAL')":null,"HCI^FE_ESTIMATE(CF_FIN,MEDIAN,ANNUAL_ROLL,+2,0,,,'CURRENCY=LOCAL')":null,"HCI^FE_ESTIMATE(CF_FIN,MEDIAN,ANNUAL_ROLL,+1,0,,,'CURRENCY=LOCAL')":null,"HCI^FE_ESTIMATE(CF_INV,MEDIAN,ANNUAL_ROLL,+3,0,,,'CURRENCY=LOCAL')":null,"HCI^FE_ESTIMATE(CF_INV,MEDIAN,ANNUAL_ROLL,+2,0,,,'CURRENCY=LOCAL')":null,"HCI^FE_ESTIMATE(CF_INV,MEDIAN,ANNUAL_ROLL,+1,0,,,'CURRENCY=LOCAL')":null,"HCI^FE_ESTIMATE(CAPEX,MEDIAN,ANNUAL_ROLL,+3,0,,,'CURRENCY=LOCAL')":null,"HCI^FE_ESTIMATE(CAPEX,MEDIAN,ANNUAL_ROLL,+2,0,,,'CURRENCY=LOCAL')":null,"HCI^FE_ESTIMATE(CAPEX,MEDIAN,ANNUAL_ROLL,+1,0,,,'CURRENCY=LOCAL')":null,"HCI^FE_ESTIMATE(CF_OP,MEDIAN,ANNUAL_ROLL,+3,0,,,'CURRENCY=LOCAL')":null,"HCI^FE_ESTIMATE(CF_OP,MEDIAN,ANNUAL_ROLL,+2,0,,,'CURRENCY=LOCAL')":null,"HCI^FE_ESTIMATE(CF_OP,MEDIAN,ANNUAL_ROLL,+1,0,,,'CURRENCY=LOCAL')":null,"HCI^FE_ESTIMATE(FFO,MEDIAN,ANNUAL_ROLL,+3,0,,,'CURRENCY=LOCAL')":null,"HCI^FE_ESTIMATE(FFO,MEDIAN,ANNUAL_ROLL,+2,0,,,'CURRENCY=LOCAL')":null,"HCI^FE_ESTIMATE(FFO,MEDIAN,ANNUAL_ROLL,+1,0,,,'CURRENCY=LOCAL')":null,"HCI^FE_ESTIMATE(SHLDRS_EQ,MEDIAN,ANNUAL_ROLL,+3,0,,,'CURRENCY=LOCAL')":null,"HCI^FE_ESTIMATE(SHLDRS_EQ,MEDIAN,ANNUAL_ROLL,+2,0,,,'CURRENCY=LOCAL')":206.171,"HCI^FE_ESTIMATE(SHLDRS_EQ,MEDIAN,ANNUAL_ROLL,+1,0,,,'CURRENCY=LOCAL')":187.8595,"HCI^FE_ESTIMATE(DEBT,MEDIAN,ANNUAL_ROLL,+3,0,,,'CURRENCY=LOCAL')":null,"HCI^FE_ESTIMATE(DEBT,MEDIAN,ANNUAL_ROLL,+2,0,,,'CURRENCY=LOCAL')":null,"HCI^FE_ESTIMATE(DEBT,MEDIAN,ANNUAL_ROLL,+1,0,,,'CURRENCY=LOCAL')":null,"HCI^FE_ESTIMATE(CURRENT_LIABILITIES,MEDIAN,ANNUAL_ROLL,+3,0,,,'CURRENCY=LOCAL')":null,"HCI^FE_ESTIMATE(CURRENT_LIABILITIES,MEDIAN,ANNUAL_ROLL,+2,0,,,'CURRENCY=LOCAL')":null,"HCI^FE_ESTIMATE(CURRENT_LIABILITIES,MEDIAN,ANNUAL_ROLL,+1,0,,,'CURRENCY=LOCAL')":null,"HCI^FE_ESTIMATE(ASSETS,MEDIAN,ANNUAL,1,NOW,,,'CURRENCY=LOCAL')":1730.8405,"HCI^FE_ESTIMATE(CURRENT_ASSETS,MEDIAN,ANNUAL_ROLL,+3,0,,,'CURRENCY=LOCAL')":null,"HCI^FE_ESTIMATE(CURRENT_ASSETS,MEDIAN,ANNUAL_ROLL,+2,0,,,'CURRENCY=LOCAL')":null,"HCI^FE_ESTIMATE(CURRENT_ASSETS,MEDIAN,ANNUAL_ROLL,+1,0,,,'CURRENCY=LOCAL')":null,"HCI^FE_ESTIMATE(INVENTORIES,MEDIAN,ANNUAL_ROLL,+3,0,,,'CURRENCY=LOCAL')":null,"HCI^FE_ESTIMATE(INVENTORIES,MEDIAN,ANNUAL_ROLL,+2,0,,,'CURRENCY=LOCAL')":null,"HCI^FE_ESTIMATE(INVENTORIES,MEDIAN,ANNUAL_ROLL,+1,0,,,'CURRENCY=LOCAL')":null,"HCI^FE_ESTIMATE(NET_INC,MEDIAN,ANNUAL_ROLL,+3,0,,,'CURRENCY=LOCAL')":null,"HCI^FE_ESTIMATE(NET_INC,MEDIAN,ANNUAL_ROLL,+1,0,,,'CURRENCY=LOCAL')":33.014,"HCI^FE_ESTIMATE(TAX_EXPENSE,MEDIAN,ANNUAL_ROLL,+3,0,,,'CURRENCY=LOCAL')":null,"HCI^FE_ESTIMATE(TAX_EXPENSE,MEDIAN,ANNUAL_ROLL,+2,0,,,'CURRENCY=LOCAL')":14.806,"HCI^FE_ESTIMATE(TAX_EXPENSE,MEDIAN,ANNUAL_ROLL,+1,0,,,'CURRENCY=LOCAL')":13.954,"HCI^FE_ESTIMATE(PTX_INC,MEDIAN,ANNUAL_ROLL,+3,0,,,'CURRENCY=LOCAL')":null,"HCI^FE_ESTIMATE(PTX_INC,MEDIAN,ANNUAL_ROLL,+2,0,,,'CURRENCY=LOCAL')":49.352,"HCI^FE_ESTIMATE(PTX_INC,MEDIAN,ANNUAL_ROLL,+1,0,,,'CURRENCY=LOCAL')":54.158,"HCI^FE_ESTIMATE(INT_EXP,MEDIAN,ANNUAL_ROLL,+3,0,,,'CURRENCY=LOCAL')":null,"HCI^FE_ESTIMATE(INT_EXP,MEDIAN,ANNUAL_ROLL,+2,0,,,'CURRENCY=LOCAL')":10.0,"HCI^FE_ESTIMATE(INT_EXP,MEDIAN,ANNUAL_ROLL,+1,0,,,'CURRENCY=LOCAL')":10.802,"HCI^FE_ESTIMATE(EBIT,MEDIAN,ANNUAL_ROLL,+3,0,,,'CURRENCY=LOCAL')":null,"HCI^FE_ESTIMATE(EBIT,MEDIAN,ANNUAL_ROLL,+2,0,,,'CURRENCY=LOCAL')":89.1,"HCI^FE_ESTIMATE(EBIT,MEDIAN,ANNUAL_ROLL,+1,0,,,'CURRENCY=LOCAL')":49.2,"HCI^FE_ESTIMATE(SALES,MEDIAN,ANNUAL_ROLL,+3,0,,,'CURRENCY=LOCAL')":null,"HCI^FE_ESTIMATE(SALES,MEDIAN,ANNUAL_ROLL,+2,0,,,'CURRENCY=LOCAL')":579.022,"HCI^FE_ESTIMATE(SALES,MEDIAN,ANNUAL_ROLL,+1,0,,,'CURRENCY=LOCAL')":508.976,"HCI^FE_ACTUAL_DATE(FISCALPERIODEND,,ANNUAL,3,'MM/YYYY')":"12/2025","HCI^FE_ACTUAL_DATE(FISCALPERIODEND,,ANNUAL,2,'MM/YYYY')":"12/2024","HCI^FE_ACTUAL_DATE(FISCALPERIODEND,,ANNUAL,1,'MM/YYYY')":"12/2023","HCI^FF_SALES(,12/2012,,,,LOCAL)":163.065,"HCI^FF_SALES(,12/2013,,,,LOCAL)":241.088,"HCI^FF_SALES(,12/2014,,,,LOCAL)":266.215,"HCI^FF_SALES(,12/2015,,,,LOCAL)":290.633,"HCI^FF_SALES(,12/2016,,,,LOCAL)":262.77,"HCI^FF_SALES(,12/2017,,,,LOCAL)":245.873,"HCI^FF_SALES(,12/2018,,,,LOCAL)":231.372,"HCI^FF_SALES(,12/2019,,,,LOCAL)":242.763,"HCI^FF_SALES(,12/2020,,,,LOCAL)":274.079,"HCI^FF_SALES(,12/2021,,,,LOCAL)":405.125,"HCI^FF_SALES(,12/2022,,,,LOCAL)":499.563,"HCI^FF_COGS(,12/2012,,,,LOCAL)":null,"HCI^FF_COGS(,12/2013,,,,LOCAL)":null,"HCI^FF_COGS(,12/2014,,,,LOCAL)":null,"HCI^FF_COGS(,12/2015,,,,LOCAL)":null,"HCI^FF_COGS(,12/2016,,,,LOCAL)":null,"HCI^FF_COGS(,12/2017,,,,LOCAL)":null,"HCI^FF_COGS(,12/2018,,,,LOCAL)":null,"HCI^FF_COGS(,12/2019,,,,LOCAL)":null,"HCI^FF_COGS(,12/2020,,,,LOCAL)":null,"HCI^FF_COGS(,12/2021,,,,LOCAL)":null,"HCI^FF_COGS(,12/2022,,,,LOCAL)":null,"HCI^FF_GROSS_INC(,12/2012,,,,LOCAL)":null,"HCI^FF_GROSS_INC(,12/2013,,,,LOCAL)":null,"HCI^FF_GROSS_INC(,12/2014,,,,LOCAL)":null,"HCI^FF_GROSS_INC(,12/2015,,,,LOCAL)":null,"HCI^FF_GROSS_INC(,12/2016,,,,LOCAL)":null,"HCI^FF_GROSS_INC(,12/2017,,,,LOCAL)":null,"HCI^FF_GROSS_INC(,12/2018,,,,LOCAL)":null,"HCI^FF_GROSS_INC(,12/2019,,,,LOCAL)":null,"HCI^FF_GROSS_INC(,12/2020,,,,LOCAL)":null,"HCI^FF_GROSS_INC(,12/2021,,,,LOCAL)":null,"HCI^FF_GROSS_INC(,12/2022,,,,LOCAL)":null,"HCI^FF_EBIT_OPER(,12/2012,,,,LOCAL)":null,"HCI^FF_EBIT_OPER(,12/2013,,,,LOCAL)":null,"HCI^FF_EBIT_OPER(,12/2014,,,,LOCAL)":null,"HCI^FF_EBIT_OPER(,12/2015,,,,LOCAL)":null,"HCI^FF_EBIT_OPER(,12/2016,,,,LOCAL)":null,"HCI^FF_EBIT_OPER(,12/2017,,,,LOCAL)":null,"HCI^FF_EBIT_OPER(,12/2018,,,,LOCAL)":null,"HCI^FF_EBIT_OPER(,12/2019,,,,LOCAL)":null,"HCI^FF_EBIT_OPER(,12/2020,,,,LOCAL)":null,"HCI^FF_EBIT_OPER(,12/2021,,,,LOCAL)":null,"HCI^FF_EBIT_OPER(,12/2022,,,,LOCAL)":null,"HCI^FF_INT_EXP_NET(,12/2012,,,,LOCAL)":0.0,"HCI^FF_INT_EXP_NET(,12/2013,,,,LOCAL)":3.607,"HCI^FF_INT_EXP_NET(,12/2014,,,,LOCAL)":10.453,"HCI^FF_INT_EXP_NET(,12/2015,,,,LOCAL)":10.754,"HCI^FF_INT_EXP_NET(,12/2016,,,,LOCAL)":11.079,"HCI^FF_INT_EXP_NET(,12/2017,,,,LOCAL)":16.767,"HCI^FF_INT_EXP_NET(,12/2018,,,,LOCAL)":18.096,"HCI^FF_INT_EXP_NET(,12/2019,,,,LOCAL)":13.055,"HCI^FF_INT_EXP_NET(,12/2020,,,,LOCAL)":11.734,"HCI^FF_INT_EXP_NET(,12/2021,,,,LOCAL)":6.4,"HCI^FF_INT_EXP_NET(,12/2022,,,,LOCAL)":7.768,"HCI^FF_NON_OPER_INC(,12/2012,,,,LOCAL)":0.0,"HCI^FF_NON_OPER_INC(,12/2013,,,,LOCAL)":0.0,"HCI^FF_NON_OPER_INC(,12/2014,,,,LOCAL)":0.0,"HCI^FF_NON_OPER_INC(,12/2015,,,,LOCAL)":0.0,"HCI^FF_NON_OPER_INC(,12/2016,,,,LOCAL)":0.0,"HCI^FF_NON_OPER_INC(,12/2017,,,,LOCAL)":0.0,"HCI^FF_NON_OPER_INC(,12/2018,,,,LOCAL)":0.0,"HCI^FF_NON_OPER_INC(,12/2019,,,,LOCAL)":0.0,"HCI^FF_NON_OPER_INC(,12/2020,,,,LOCAL)":0.0,"HCI^FF_NON_OPER_INC(,12/2021,,,,LOCAL)":0.0,"HCI^FF_NON_OPER_INC(,12/2022,,,,LOCAL)":0.0,"HCI^FF_UNUSUAL_EXP(,12/2012,,,,LOCAL)":0.161,"HCI^FF_UNUSUAL_EXP(,12/2013,,,,LOCAL)":0.0,"HCI^FF_UNUSUAL_EXP(,12/2014,,,,LOCAL)":0.107,"HCI^FF_UNUSUAL_EXP(,12/2015,,,,LOCAL)":4.681,"HCI^FF_UNUSUAL_EXP(,12/2016,,,,LOCAL)":-1.288,"HCI^FF_UNUSUAL_EXP(,12/2017,,,,LOCAL)":2.248,"HCI^FF_UNUSUAL_EXP(,12/2018,,,,LOCAL)":0.08,"HCI^FF_UNUSUAL_EXP(,12/2019,,,,LOCAL)":0.289,"HCI^FF_UNUSUAL_EXP(,12/2020,,,,LOCAL)":-36.11,"HCI^FF_UNUSUAL_EXP(,12/2021,,,,LOCAL)":-1.036,"HCI^FF_UNUSUAL_EXP(,12/2022,,,,LOCAL)":2.284,"HCI^FF_PTX_INC(,12/2012,,,,LOCAL)":49.58,"HCI^FF_PTX_INC(,12/2013,,,,LOCAL)":106.453,"HCI^FF_PTX_INC(,12/2014,,,,LOCAL)":100.962,"HCI^FF_PTX_INC(,12/2015,,,,LOCAL)":106.192,"HCI^FF_PTX_INC(,12/2016,,,,LOCAL)":46.856,"HCI^FF_PTX_INC(,12/2017,,,,LOCAL)":-15.624,"HCI^FF_PTX_INC(,12/2018,,,,LOCAL)":26.902,"HCI^FF_PTX_INC(,12/2019,,,,LOCAL)":36.093,"HCI^FF_PTX_INC(,12/2020,,,,LOCAL)":36.928,"HCI^FF_PTX_INC(,12/2021,,,,LOCAL)":11.233,"HCI^FF_PTX_INC(,12/2022,,,,LOCAL)":-68.418,"HCI^FF_INC_TAX(,12/2012,,,,LOCAL)":19.423,"HCI^FF_INC_TAX(,12/2013,,,,LOCAL)":40.891,"HCI^FF_INC_TAX(,12/2014,,,,LOCAL)":38.298,"HCI^FF_INC_TAX(,12/2015,,,,LOCAL)":40.331,"HCI^FF_INC_TAX(,12/2016,,,,LOCAL)":17.835,"HCI^FF_INC_TAX(,12/2017,,,,LOCAL)":-8.731,"HCI^FF_INC_TAX(,12/2018,,,,LOCAL)":9.177,"HCI^FF_INC_TAX(,12/2019,,,,LOCAL)":9.517,"HCI^FF_INC_TAX(,12/2020,,,,LOCAL)":9.348,"HCI^FF_INC_TAX(,12/2021,,,,LOCAL)":3.991,"HCI^FF_INC_TAX(,12/2022,,,,LOCAL)":-13.815,"HCI^FF_NET_INC(,12/2012,,,,LOCAL)":29.669,"HCI^FF_NET_INC(,12/2013,,,,LOCAL)":62.349,"HCI^FF_NET_INC(,12/2014,,,,LOCAL)":58.346,"HCI^FF_NET_INC(,12/2015,,,,LOCAL)":62.463,"HCI^FF_NET_INC(,12/2016,,,,LOCAL)":27.476,"HCI^FF_NET_INC(,12/2017,,,,LOCAL)":-6.412,"HCI^FF_NET_INC(,12/2018,,,,LOCAL)":18.442,"HCI^FF_NET_INC(,12/2019,,,,LOCAL)":25.128,"HCI^FF_NET_INC(,12/2020,,,,LOCAL)":26.118,"HCI^FF_NET_INC(,12/2021,,,,LOCAL)":1.832,"HCI^FF_NET_INC(,12/2022,,,,LOCAL)":-55.048,"HCI^FF_COM_SHS_OUT_EPS_DIL(,12/2012,,,,LOCAL)":9.813,"HCI^FF_COM_SHS_OUT_EPS_DIL(,12/2013,,,,LOCAL)":11.122,"HCI^FF_COM_SHS_OUT_EPS_DIL(,12/2014,,,,LOCAL)":11.694,"HCI^FF_COM_SHS_OUT_EPS_DIL(,12/2015,,,,LOCAL)":11.355,"HCI^FF_COM_SHS_OUT_EPS_DIL(,12/2016,,,,LOCAL)":10.873,"HCI^FF_COM_SHS_OUT_EPS_DIL(,12/2017,,,,LOCAL)":8.558,"HCI^FF_COM_SHS_OUT_EPS_DIL(,12/2018,,,,LOCAL)":7.895,"HCI^FF_COM_SHS_OUT_EPS_DIL(,12/2019,,,,LOCAL)":10.238,"HCI^FF_COM_SHS_OUT_EPS_DIL(,12/2020,,,,LOCAL)":9.694,"HCI^FF_COM_SHS_OUT_EPS_DIL(,12/2021,,,,LOCAL)":8.58,"HCI^FF_COM_SHS_OUT_EPS_DIL(,12/2022,,,,LOCAL)":8.817,"HCI^FF_EPS_DIL(,12/2012,,,,LOCAL)":3.02,"HCI^FF_EPS_DIL(,12/2013,,,,LOCAL)":5.63,"HCI^FF_EPS_DIL(,12/2014,,,,LOCAL)":5.3608,"HCI^FF_EPS_DIL(,12/2015,,,,LOCAL)":5.8977,"HCI^FF_EPS_DIL(,12/2016,,,,LOCAL)":2.9173,"HCI^FF_EPS_DIL(,12/2017,,,,LOCAL)":-0.7492,"HCI^FF_EPS_DIL(,12/2018,,,,LOCAL)":2.3359,"HCI^FF_EPS_DIL(,12/2019,,,,LOCAL)":3.3088,"HCI^FF_EPS_DIL(,12/2020,,,,LOCAL)":3.4891,"HCI^FF_EPS_DIL(,12/2021,,,,LOCAL)":0.2135,"HCI^FF_EPS_DIL(,12/2022,,,,LOCAL)":-6.2434,"HCI^FF_CASH_ST(,12/2012,,,,LOCAL)":null,"HCI^FF_CASH_ST(,12/2013,,,,LOCAL)":null,"HCI^FF_CASH_ST(,12/2014,,,,LOCAL)":null,"HCI^FF_CASH_ST(,12/2015,,,,LOCAL)":null,"HCI^FF_CASH_ST(,12/2016,,,,LOCAL)":null,"HCI^FF_CASH_ST(,12/2017,,,,LOCAL)":null,"HCI^FF_CASH_ST(,12/2018,,,,LOCAL)":null,"HCI^FF_CASH_ST(,12/2019,,,,LOCAL)":null,"HCI^FF_CASH_ST(,12/2020,,,,LOCAL)":null,"HCI^FF_CASH_ST(,12/2021,,,,LOCAL)":null,"HCI^FF_CASH_ST(,12/2022,,,,LOCAL)":null,"HCI^FF_RECEIV_NET(,12/2012,,,,LOCAL)":null,"HCI^FF_RECEIV_NET(,12/2013,,,,LOCAL)":null,"HCI^FF_RECEIV_NET(,12/2014,,,,LOCAL)":null,"HCI^FF_RECEIV_NET(,12/2015,,,,LOCAL)":null,"HCI^FF_RECEIV_NET(,12/2016,,,,LOCAL)":null,"HCI^FF_RECEIV_NET(,12/2017,,,,LOCAL)":null,"HCI^FF_RECEIV_NET(,12/2018,,,,LOCAL)":null,"HCI^FF_RECEIV_NET(,12/2019,,,,LOCAL)":null,"HCI^FF_RECEIV_NET(,12/2020,,,,LOCAL)":null,"HCI^FF_RECEIV_NET(,12/2021,,,,LOCAL)":null,"HCI^FF_RECEIV_NET(,12/2022,,,,LOCAL)":null,"HCI^FF_INVEN(,12/2012,,,,LOCAL)":null,"HCI^FF_INVEN(,12/2013,,,,LOCAL)":null,"HCI^FF_INVEN(,12/2014,,,,LOCAL)":null,"HCI^FF_INVEN(,12/2015,,,,LOCAL)":null,"HCI^FF_INVEN(,12/2016,,,,LOCAL)":null,"HCI^FF_INVEN(,12/2017,,,,LOCAL)":null,"HCI^FF_INVEN(,12/2018,,,,LOCAL)":null,"HCI^FF_INVEN(,12/2019,,,,LOCAL)":null,"HCI^FF_INVEN(,12/2020,,,,LOCAL)":null,"HCI^FF_INVEN(,12/2021,,,,LOCAL)":null,"HCI^FF_INVEN(,12/2022,,,,LOCAL)":null,"HCI^FF_ASSETS_CURR(,12/2012,,,,LOCAL)":242.495,"HCI^FF_ASSETS_CURR(,12/2013,,,,LOCAL)":320.401,"HCI^FF_ASSETS_CURR(,12/2014,,,,LOCAL)":363.067,"HCI^FF_ASSETS_CURR(,12/2015,,,,LOCAL)":329.925,"HCI^FF_ASSETS_CURR(,12/2016,,,,LOCAL)":311.344,"HCI^FF_ASSETS_CURR(,12/2017,,,,LOCAL)":330.432,"HCI^FF_ASSETS_CURR(,12/2018,,,,LOCAL)":379.777,"HCI^FF_ASSETS_CURR(,12/2019,,,,LOCAL)":326.229,"HCI^FF_ASSETS_CURR(,12/2020,,,,LOCAL)":539.443,"HCI^FF_ASSETS_CURR(,12/2021,,,,LOCAL)":717.827,"HCI^FF_ASSETS_CURR(,12/2022,,,,LOCAL)":559.19,"HCI^FF_PPE_NET(,12/2012,,,,LOCAL)":10.853,"HCI^FF_PPE_NET(,12/2013,,,,LOCAL)":13.132,"HCI^FF_PPE_NET(,12/2014,,,,LOCAL)":12.292,"HCI^FF_PPE_NET(,12/2015,,,,LOCAL)":11.786,"HCI^FF_PPE_NET(,12/2016,,,,LOCAL)":11.374,"HCI^FF_PPE_NET(,12/2017,,,,LOCAL)":12.465,"HCI^FF_PPE_NET(,12/2018,,,,LOCAL)":13.338,"HCI^FF_PPE_NET(,12/2019,,,,LOCAL)":15.182,"HCI^FF_PPE_NET(,12/2020,,,,LOCAL)":16.769,"HCI^FF_PPE_NET(,12/2021,,,,LOCAL)":16.436,"HCI^FF_PPE_NET(,12/2022,,,,LOCAL)":18.687,"HCI^FF_INTANG(,12/2012,,,,LOCAL)":0.0,"HCI^FF_INTANG(,12/2013,,,,LOCAL)":0.0,"HCI^FF_INTANG(,12/2014,,,,LOCAL)":0.0,"HCI^FF_INTANG(,12/2015,,,,LOCAL)":0.0,"HCI^FF_INTANG(,12/2016,,,,LOCAL)":4.899,"HCI^FF_INTANG(,12/2017,,,,LOCAL)":4.995,"HCI^FF_INTANG(,12/2018,,,,LOCAL)":4.8,"HCI^FF_INTANG(,12/2019,,,,LOCAL)":4.192,"HCI^FF_INTANG(,12/2020,,,,LOCAL)":3.568,"HCI^FF_INTANG(,12/2021,,,,LOCAL)":10.636,"HCI^FF_INTANG(,12/2022,,,,LOCAL)":10.578,"HCI^FF_ASSETS(,12/2012,,,,LOCAL)":336.205,"HCI^FF_ASSETS(,12/2013,,,,LOCAL)":510.305,"HCI^FF_ASSETS(,12/2014,,,,LOCAL)":578.317,"HCI^FF_ASSETS(,12/2015,,,,LOCAL)":609.785,"HCI^FF_ASSETS(,12/2016,,,,LOCAL)":660.799,"HCI^FF_ASSETS(,12/2017,,,,LOCAL)":729.561,"HCI^FF_ASSETS(,12/2018,,,,LOCAL)":702.27,"HCI^FF_ASSETS(,12/2019,,,,LOCAL)":662.291,"HCI^FF_ASSETS(,12/2020,,,,LOCAL)":834.193,"HCI^FF_ASSETS(,12/2021,,,,LOCAL)":1093.76,"HCI^FF_ASSETS(,12/2022,,,,LOCAL)":1078.665,"HCI^FF_PAY_ACCT(,12/2012,,,,LOCAL)":1.377,"HCI^FF_PAY_ACCT(,12/2013,,,,LOCAL)":4.66,"HCI^FF_PAY_ACCT(,12/2014,,,,LOCAL)":0.218,"HCI^FF_PAY_ACCT(,12/2015,,,,LOCAL)":1.084,"HCI^FF_PAY_ACCT(,12/2016,,,,LOCAL)":3.294,"HCI^FF_PAY_ACCT(,12/2017,,,,LOCAL)":0.015,"HCI^FF_PAY_ACCT(,12/2018,,,,LOCAL)":0.014,"HCI^FF_PAY_ACCT(,12/2019,,,,LOCAL)":0.076,"HCI^FF_PAY_ACCT(,12/2020,,,,LOCAL)":0.087,"HCI^FF_PAY_ACCT(,12/2021,,,,LOCAL)":23.335,"HCI^FF_PAY_ACCT(,12/2022,,,,LOCAL)":26.252,"HCI^FF_LIABS_CURR(,12/2012,,,,LOCAL)":54.441,"HCI^FF_LIABS_CURR(,12/2013,,,,LOCAL)":52.94,"HCI^FF_LIABS_CURR(,12/2014,,,,LOCAL)":53.952,"HCI^FF_LIABS_CURR(,12/2015,,,,LOCAL)":59.09,"HCI^FF_LIABS_CURR(,12/2016,,,,LOCAL)":81.082,"HCI^FF_LIABS_CURR(,12/2017,,,,LOCAL)":116.458,"HCI^FF_LIABS_CURR(,12/2018,,,,LOCAL)":181.488,"HCI^FF_LIABS_CURR(,12/2019,,,,LOCAL)":102.494,"HCI^FF_LIABS_CURR(,12/2020,,,,LOCAL)":139.985,"HCI^FF_LIABS_CURR(,12/2021,,,,LOCAL)":201.753,"HCI^FF_LIABS_CURR(,12/2022,,,,LOCAL)":237.219,"HCI^FF_DEBT_ST(,12/2012,,,,LOCAL)":0.0,"HCI^FF_DEBT_ST(,12/2013,,,,LOCAL)":0.0,"HCI^FF_DEBT_ST(,12/2014,,,,LOCAL)":0.0,"HCI^FF_DEBT_ST(,12/2015,,,,LOCAL)":0.0,"HCI^FF_DEBT_ST(,12/2016,,,,LOCAL)":0.783,"HCI^FF_DEBT_ST(,12/2017,,,,LOCAL)":1.049,"HCI^FF_DEBT_ST(,12/2018,,,,LOCAL)":91.316,"HCI^FF_DEBT_ST(,12/2019,,,,LOCAL)":10.34,"HCI^FF_DEBT_ST(,12/2020,,,,LOCAL)":2.694,"HCI^FF_DEBT_ST(,12/2021,,,,LOCAL)":2.45,"HCI^FF_DEBT_ST(,12/2022,,,,LOCAL)":1.164,"HCI^FF_DEBT_LT(,12/2012,,,,LOCAL)":0.0,"HCI^FF_DEBT_LT(,12/2013,,,,LOCAL)":126.932,"HCI^FF_DEBT_LT(,12/2014,,,,LOCAL)":125.886,"HCI^FF_DEBT_LT(,12/2015,,,,LOCAL)":129.429,"HCI^FF_DEBT_LT(,12/2016,,,,LOCAL)":138.08,"HCI^FF_DEBT_LT(,12/2017,,,,LOCAL)":236.786,"HCI^FF_DEBT_LT(,12/2018,,,,LOCAL)":158.834,"HCI^FF_DEBT_LT(,12/2019,,,,LOCAL)":163.105,"HCI^FF_DEBT_LT(,12/2020,,,,LOCAL)":181.581,"HCI^FF_DEBT_LT(,12/2021,,,,LOCAL)":60.257,"HCI^FF_DEBT_LT(,12/2022,,,,LOCAL)":211.244,"HCI^FF_DEBT(,12/2012,,,,LOCAL)":0.0,"HCI^FF_DEBT(,12/2013,,,,LOCAL)":126.932,"HCI^FF_DEBT(,12/2014,,,,LOCAL)":125.886,"HCI^FF_DEBT(,12/2015,,,,LOCAL)":129.429,"HCI^FF_DEBT(,12/2016,,,,LOCAL)":138.863,"HCI^FF_DEBT(,12/2017,,,,LOCAL)":237.835,"HCI^FF_DEBT(,12/2018,,,,LOCAL)":250.15,"HCI^FF_DEBT(,12/2019,,,,LOCAL)":173.445,"HCI^FF_DEBT(,12/2020,,,,LOCAL)":184.275,"HCI^FF_DEBT(,12/2021,,,,LOCAL)":62.707,"HCI^FF_DEBT(,12/2022,,,,LOCAL)":212.408,"HCI^FF_LIABS(,12/2012,,,,LOCAL)":214.952,"HCI^FF_LIABS(,12/2013,,,,LOCAL)":349.784,"HCI^FF_LIABS(,12/2014,,,,LOCAL)":395.732,"HCI^FF_LIABS(,12/2015,,,,LOCAL)":372.063,"HCI^FF_LIABS(,12/2016,,,,LOCAL)":417.053,"HCI^FF_LIABS(,12/2017,,,,LOCAL)":535.586,"HCI^FF_LIABS(,12/2018,,,,LOCAL)":520.829,"HCI^FF_LIABS(,12/2019,,,,LOCAL)":476.748,"HCI^FF_LIABS(,12/2020,,,,LOCAL)":633.057,"HCI^FF_LIABS(,12/2021,,,,LOCAL)":679.302,"HCI^FF_LIABS(,12/2022,,,,LOCAL)":823.858,"HCI^FF_PFD_STK(,12/2012,,,,LOCAL)":0.0,"HCI^FF_PFD_STK(,12/2013,,,,LOCAL)":0.0,"HCI^FF_PFD_STK(,12/2014,,,,LOCAL)":0.0,"HCI^FF_PFD_STK(,12/2015,,,,LOCAL)":0.0,"HCI^FF_PFD_STK(,12/2016,,,,LOCAL)":0.0,"HCI^FF_PFD_STK(,12/2017,,,,LOCAL)":0.0,"HCI^FF_PFD_STK(,12/2018,,,,LOCAL)":0.0,"HCI^FF_PFD_STK(,12/2019,,,,LOCAL)":0.0,"HCI^FF_PFD_STK(,12/2020,,,,LOCAL)":0.0,"HCI^FF_PFD_STK(,12/2021,,,,LOCAL)":0.0,"HCI^FF_PFD_STK(,12/2022,,,,LOCAL)":0.0,"HCI^FF_SHLDRS_EQ(,12/2012,,,,LOCAL)":121.253,"HCI^FF_SHLDRS_EQ(,12/2013,,,,LOCAL)":160.521,"HCI^FF_SHLDRS_EQ(,12/2014,,,,LOCAL)":182.585,"HCI^FF_SHLDRS_EQ(,12/2015,,,,LOCAL)":237.722,"HCI^FF_SHLDRS_EQ(,12/2016,,,,LOCAL)":243.746,"HCI^FF_SHLDRS_EQ(,12/2017,,,,LOCAL)":193.975,"HCI^FF_SHLDRS_EQ(,12/2018,,,,LOCAL)":181.441,"HCI^FF_SHLDRS_EQ(,12/2019,,,,LOCAL)":185.543,"HCI^FF_SHLDRS_EQ(,12/2020,,,,LOCAL)":201.136,"HCI^FF_SHLDRS_EQ(,12/2021,,,,LOCAL)":323.365,"HCI^FF_SHLDRS_EQ(,12/2022,,,,LOCAL)":162.596,"HCI^FF_LIABS_SHLDRS_EQ(,12/2012,,,,LOCAL)":336.205,"HCI^FF_LIABS_SHLDRS_EQ(,12/2013,,,,LOCAL)":510.305,"HCI^FF_LIABS_SHLDRS_EQ(,12/2014,,,,LOCAL)":578.317,"HCI^FF_LIABS_SHLDRS_EQ(,12/2015,,,,LOCAL)":609.785,"HCI^FF_LIABS_SHLDRS_EQ(,12/2016,,,,LOCAL)":660.799,"HCI^FF_LIABS_SHLDRS_EQ(,12/2017,,,,LOCAL)":729.561,"HCI^FF_LIABS_SHLDRS_EQ(,12/2018,,,,LOCAL)":702.27,"HCI^FF_LIABS_SHLDRS_EQ(,12/2019,,,,LOCAL)":662.291,"HCI^FF_LIABS_SHLDRS_EQ(,12/2020,,,,LOCAL)":834.193,"HCI^FF_LIABS_SHLDRS_EQ(,12/2021,,,,LOCAL)":1093.76,"HCI^FF_LIABS_SHLDRS_EQ(,12/2022,,,,LOCAL)":1078.665,"HCI^FF_NET_INC_CF(,12/2012,,,,LOCAL)":null,"HCI^FF_NET_INC_CF(,12/2013,,,,LOCAL)":null,"HCI^FF_NET_INC_CF(,12/2014,,,,LOCAL)":null,"HCI^FF_NET_INC_CF(,12/2015,,,,LOCAL)":null,"HCI^FF_NET_INC_CF(,12/2016,,,,LOCAL)":null,"HCI^FF_NET_INC_CF(,12/2017,,,,LOCAL)":null,"HCI^FF_NET_INC_CF(,12/2018,,,,LOCAL)":null,"HCI^FF_NET_INC_CF(,12/2019,,,,LOCAL)":null,"HCI^FF_NET_INC_CF(,12/2020,,,,LOCAL)":null,"HCI^FF_NET_INC_CF(,12/2021,,,,LOCAL)":null,"HCI^FF_NET_INC_CF(,12/2022,,,,LOCAL)":null,"HCI^FF_DEP_EXP_XAMORT_CF(,12/2012,,,,LOCAL)":null,"HCI^FF_DEP_EXP_XAMORT_CF(,12/2013,,,,LOCAL)":null,"HCI^FF_DEP_EXP_XAMORT_CF(,12/2014,,,,LOCAL)":null,"HCI^FF_DEP_EXP_XAMORT_CF(,12/2015,,,,LOCAL)":null,"HCI^FF_DEP_EXP_XAMORT_CF(,12/2016,,,,LOCAL)":null,"HCI^FF_DEP_EXP_XAMORT_CF(,12/2017,,,,LOCAL)":null,"HCI^FF_DEP_EXP_XAMORT_CF(,12/2018,,,,LOCAL)":null,"HCI^FF_DEP_EXP_XAMORT_CF(,12/2019,,,,LOCAL)":null,"HCI^FF_DEP_EXP_XAMORT_CF(,12/2020,,,,LOCAL)":null,"HCI^FF_DEP_EXP_XAMORT_CF(,12/2021,,,,LOCAL)":null,"HCI^FF_DEP_EXP_XAMORT_CF(,12/2022,,,,LOCAL)":null,"HCI^FF_AMORT_CF(,12/2012,,,,LOCAL)":null,"HCI^FF_AMORT_CF(,12/2013,,,,LOCAL)":null,"HCI^FF_AMORT_CF(,12/2014,,,,LOCAL)":null,"HCI^FF_AMORT_CF(,12/2015,,,,LOCAL)":null,"HCI^FF_AMORT_CF(,12/2016,,,,LOCAL)":null,"HCI^FF_AMORT_CF(,12/2017,,,,LOCAL)":null,"HCI^FF_AMORT_CF(,12/2018,,,,LOCAL)":null,"HCI^FF_AMORT_CF(,12/2019,,,,LOCAL)":null,"HCI^FF_AMORT_CF(,12/2020,,,,LOCAL)":null,"HCI^FF_AMORT_CF(,12/2021,,,,LOCAL)":null,"HCI^FF_AMORT_CF(,12/2022,,,,LOCAL)":null,"HCI^FF_DFD_TAX_CF(,12/2012,,,,LOCAL)":null,"HCI^FF_DFD_TAX_CF(,12/2013,,,,LOCAL)":null,"HCI^FF_DFD_TAX_CF(,12/2014,,,,LOCAL)":null,"HCI^FF_DFD_TAX_CF(,12/2015,,,,LOCAL)":null,"HCI^FF_DFD_TAX_CF(,12/2016,,,,LOCAL)":null,"HCI^FF_DFD_TAX_CF(,12/2017,,,,LOCAL)":null,"HCI^FF_DFD_TAX_CF(,12/2018,,,,LOCAL)":null,"HCI^FF_DFD_TAX_CF(,12/2019,,,,LOCAL)":null,"HCI^FF_DFD_TAX_CF(,12/2020,,,,LOCAL)":null,"HCI^FF_DFD_TAX_CF(,12/2021,,,,LOCAL)":null,"HCI^FF_DFD_TAX_CF(,12/2022,,,,LOCAL)":null,"HCI^FF_NON_CASH(,12/2012,,,,LOCAL)":null,"HCI^FF_NON_CASH(,12/2013,,,,LOCAL)":null,"HCI^FF_NON_CASH(,12/2014,,,,LOCAL)":null,"HCI^FF_NON_CASH(,12/2015,,,,LOCAL)":null,"HCI^FF_NON_CASH(,12/2016,,,,LOCAL)":null,"HCI^FF_NON_CASH(,12/2017,,,,LOCAL)":null,"HCI^FF_NON_CASH(,12/2018,,,,LOCAL)":null,"HCI^FF_NON_CASH(,12/2019,,,,LOCAL)":null,"HCI^FF_NON_CASH(,12/2020,,,,LOCAL)":null,"HCI^FF_NON_CASH(,12/2021,,,,LOCAL)":null,"HCI^FF_NON_CASH(,12/2022,,,,LOCAL)":null,"HCI^FF_WKCAP_CHG(,12/2012,,,,LOCAL)":76.032,"HCI^FF_WKCAP_CHG(,12/2013,,,,LOCAL)":-18.466,"HCI^FF_WKCAP_CHG(,12/2014,,,,LOCAL)":21.529,"HCI^FF_WKCAP_CHG(,12/2015,,,,LOCAL)":-39.214,"HCI^FF_WKCAP_CHG(,12/2016,,,,LOCAL)":55.043,"HCI^FF_WKCAP_CHG(,12/2017,,,,LOCAL)":16.054,"HCI^FF_WKCAP_CHG(,12/2018,,,,LOCAL)":-7.645,"HCI^FF_WKCAP_CHG(,12/2019,,,,LOCAL)":14.125,"HCI^FF_WKCAP_CHG(,12/2020,,,,LOCAL)":60.04,"HCI^FF_WKCAP_CHG(,12/2021,,,,LOCAL)":76.244,"HCI^FF_WKCAP_CHG(,12/2022,,,,LOCAL)":49.13,"HCI^FF_OPER_CF(,12/2012,,,,LOCAL)":106.266,"HCI^FF_OPER_CF(,12/2013,,,,LOCAL)":55.472,"HCI^FF_OPER_CF(,12/2014,,,,LOCAL)":89.414,"HCI^FF_OPER_CF(,12/2015,,,,LOCAL)":46.029,"HCI^FF_OPER_CF(,12/2016,,,,LOCAL)":88.722,"HCI^FF_OPER_CF(,12/2017,,,,LOCAL)":29.674,"HCI^FF_OPER_CF(,12/2018,,,,LOCAL)":30.415,"HCI^FF_OPER_CF(,12/2019,,,,LOCAL)":56.474,"HCI^FF_OPER_CF(,12/2020,,,,LOCAL)":79.703,"HCI^FF_OPER_CF(,12/2021,,,,LOCAL)":102.089,"HCI^FF_OPER_CF(,12/2022,,,,LOCAL)":5.77500000000001,"HCI^FF_CAPEX(,12/2012,,,,LOCAL)":1.196,"HCI^FF_CAPEX(,12/2013,,,,LOCAL)":3.433,"HCI^FF_CAPEX(,12/2014,,,,LOCAL)":0.453,"HCI^FF_CAPEX(,12/2015,,,,LOCAL)":0.84,"HCI^FF_CAPEX(,12/2016,,,,LOCAL)":0.865,"HCI^FF_CAPEX(,12/2017,,,,LOCAL)":2.977,"HCI^FF_CAPEX(,12/2018,,,,LOCAL)":2.596,"HCI^FF_CAPEX(,12/2019,,,,LOCAL)":2.887,"HCI^FF_CAPEX(,12/2020,,,,LOCAL)":6.437,"HCI^FF_CAPEX(,12/2021,,,,LOCAL)":3.318,"HCI^FF_CAPEX(,12/2022,,,,LOCAL)":10.141,"HCI^FF_ACQ_BUS_CF(ANN_R,12/2012,,,,LOCAL)":8.157,"HCI^FF_ACQ_BUS_CF(ANN_R,12/2013,,,,LOCAL)":0.0,"HCI^FF_ACQ_BUS_CF(ANN_R,12/2014,,,,LOCAL)":0.0,"HCI^FF_ACQ_BUS_CF(ANN_R,12/2015,,,,LOCAL)":0.0,"HCI^FF_ACQ_BUS_CF(ANN_R,12/2016,,,,LOCAL)":13.715,"HCI^FF_ACQ_BUS_CF(ANN_R,12/2017,,,,LOCAL)":0.0,"HCI^FF_ACQ_BUS_CF(ANN_R,12/2018,,,,LOCAL)":0.539,"HCI^FF_ACQ_BUS_CF(ANN_R,12/2019,,,,LOCAL)":0.0,"HCI^FF_ACQ_BUS_CF(ANN_R,12/2020,,,,LOCAL)":0.0,"HCI^FF_ACQ_BUS_CF(ANN_R,12/2021,,,,LOCAL)":6.317,"HCI^FF_ACQ_BUS_CF(ANN_R,12/2022,,,,LOCAL)":0.406,"HCI^FF_SALE_ASSETS_BUS_CF(ANN_R,12/2012,,,,LOCAL)":0.0,"HCI^FF_SALE_ASSETS_BUS_CF(ANN_R,12/2013,,,,LOCAL)":0.001,"HCI^FF_SALE_ASSETS_BUS_CF(ANN_R,12/2014,,,,LOCAL)":0.0,"HCI^FF_SALE_ASSETS_BUS_CF(ANN_R,12/2015,,,,LOCAL)":0.0,"HCI^FF_SALE_ASSETS_BUS_CF(ANN_R,12/2016,,,,LOCAL)":0.0,"HCI^FF_SALE_ASSETS_BUS_CF(ANN_R,12/2017,,,,LOCAL)":0.0,"HCI^FF_SALE_ASSETS_BUS_CF(ANN_R,12/2018,,,,LOCAL)":0.0,"HCI^FF_SALE_ASSETS_BUS_CF(ANN_R,12/2019,,,,LOCAL)":0.0,"HCI^FF_SALE_ASSETS_BUS_CF(ANN_R,12/2020,,,,LOCAL)":0.0,"HCI^FF_SALE_ASSETS_BUS_CF(ANN_R,12/2021,,,,LOCAL)":100.0,"HCI^FF_SALE_ASSETS_BUS_CF(ANN_R,12/2022,,,,LOCAL)":0.0,"HCI^FF_INVEST_PURCH_CF(ANN_R,12/2012,,,,LOCAL)":18.138,"HCI^FF_INVEST_PURCH_CF(ANN_R,12/2013,,,,LOCAL)":94.78,"HCI^FF_INVEST_PURCH_CF(ANN_R,12/2014,,,,LOCAL)":137.978,"HCI^FF_INVEST_PURCH_CF(ANN_R,12/2015,,,,LOCAL)":168.289,"HCI^FF_INVEST_PURCH_CF(ANN_R,12/2016,,,,LOCAL)":114.985,"HCI^FF_INVEST_PURCH_CF(ANN_R,12/2017,,,,LOCAL)":181.3,"HCI^FF_INVEST_PURCH_CF(ANN_R,12/2018,,,,LOCAL)":381.616,"HCI^FF_INVEST_PURCH_CF(ANN_R,12/2019,,,,LOCAL)":121.132,"HCI^FF_INVEST_PURCH_CF(ANN_R,12/2020,,,,LOCAL)":110.635,"HCI^FF_INVEST_PURCH_CF(ANN_R,12/2021,,,,LOCAL)":127.534,"HCI^FF_INVEST_PURCH_CF(ANN_R,12/2022,,,,LOCAL)":640.58,"HCI^FF_INVEST_SALE_CF(ANN_R,12/2012,,,,LOCAL)":26.28,"HCI^FF_INVEST_SALE_CF(ANN_R,12/2013,,,,LOCAL)":8.172,"HCI^FF_INVEST_SALE_CF(ANN_R,12/2014,,,,LOCAL)":119.779,"HCI^FF_INVEST_SALE_CF(ANN_R,12/2015,,,,LOCAL)":88.755,"HCI^FF_INVEST_SALE_CF(ANN_R,12/2016,,,,LOCAL)":78.473,"HCI^FF_INVEST_SALE_CF(ANN_R,12/2017,,,,LOCAL)":91.938,"HCI^FF_INVEST_SALE_CF(ANN_R,12/2018,,,,LOCAL)":365.681,"HCI^FF_INVEST_SALE_CF(ANN_R,12/2019,,,,LOCAL)":172.357,"HCI^FF_INVEST_SALE_CF(ANN_R,12/2020,,,,LOCAL)":214.201,"HCI^FF_INVEST_SALE_CF(ANN_R,12/2021,,,,LOCAL)":162.424,"HCI^FF_INVEST_SALE_CF(ANN_R,12/2022,,,,LOCAL)":195.973,"HCI^FF_INVEST_ACTIV_CF(ANN_R,12/2012,,,,LOCAL)":0.0,"HCI^FF_INVEST_ACTIV_CF(ANN_R,12/2013,,,,LOCAL)":0.0,"HCI^FF_INVEST_ACTIV_CF(ANN_R,12/2014,,,,LOCAL)":0.0,"HCI^FF_INVEST_ACTIV_CF(ANN_R,12/2015,,,,LOCAL)":0.0,"HCI^FF_INVEST_ACTIV_CF(ANN_R,12/2016,,,,LOCAL)":0.0,"HCI^FF_INVEST_ACTIV_CF(ANN_R,12/2017,,,,LOCAL)":0.0,"HCI^FF_INVEST_ACTIV_CF(ANN_R,12/2018,,,,LOCAL)":0.0,"HCI^FF_INVEST_ACTIV_CF(ANN_R,12/2019,,,,LOCAL)":0.0,"HCI^FF_INVEST_ACTIV_CF(ANN_R,12/2020,,,,LOCAL)":0.0,"HCI^FF_INVEST_ACTIV_CF(ANN_R,12/2021,,,,LOCAL)":0.0,"HCI^FF_INVEST_ACTIV_CF(ANN_R,12/2022,,,,LOCAL)":0.0,"HCI^FF_INVEST_SOURCES_CF(ANN_R,12/2012,,,,LOCAL)":0.0,"HCI^FF_INVEST_SOURCES_CF(ANN_R,12/2013,,,,LOCAL)":0.0,"HCI^FF_INVEST_SOURCES_CF(ANN_R,12/2014,,,,LOCAL)":0.0,"HCI^FF_INVEST_SOURCES_CF(ANN_R,12/2015,,,,LOCAL)":0.0,"HCI^FF_INVEST_SOURCES_CF(ANN_R,12/2016,,,,LOCAL)":0.0,"HCI^FF_INVEST_SOURCES_CF(ANN_R,12/2017,,,,LOCAL)":0.0,"HCI^FF_INVEST_SOURCES_CF(ANN_R,12/2018,,,,LOCAL)":0.0,"HCI^FF_INVEST_SOURCES_CF(ANN_R,12/2019,,,,LOCAL)":0.0,"HCI^FF_INVEST_SOURCES_CF(ANN_R,12/2020,,,,LOCAL)":44.0,"HCI^FF_INVEST_SOURCES_CF(ANN_R,12/2021,,,,LOCAL)":0.0,"HCI^FF_INVEST_SOURCES_CF(ANN_R,12/2022,,,,LOCAL)":14.5,"HCI^FF_INVEST_CF(,12/2012,,,,LOCAL)":-1.211,"HCI^FF_INVEST_CF(,12/2013,,,,LOCAL)":-90.04,"HCI^FF_INVEST_CF(,12/2014,,,,LOCAL)":-18.652,"HCI^FF_INVEST_CF(,12/2015,,,,LOCAL)":-80.374,"HCI^FF_INVEST_CF(,12/2016,,,,LOCAL)":-51.092,"HCI^FF_INVEST_CF(,12/2017,,,,LOCAL)":-92.339,"HCI^FF_INVEST_CF(,12/2018,,,,LOCAL)":-19.07,"HCI^FF_INVEST_CF(,12/2019,,,,LOCAL)":48.338,"HCI^FF_INVEST_CF(,12/2020,,,,LOCAL)":141.129,"HCI^FF_INVEST_CF(,12/2021,,,,LOCAL)":125.255,"HCI^FF_INVEST_CF(,12/2022,,,,LOCAL)":-440.654,"HCI^FF_DIV_COM_CF(,12/2012,,,,LOCAL)":8.561,"HCI^FF_DIV_COM_CF(,12/2013,,,,LOCAL)":10.902,"HCI^FF_DIV_COM_CF(,12/2014,,,,LOCAL)":12.355,"HCI^FF_DIV_COM_CF(,12/2015,,,,LOCAL)":12.428,"HCI^FF_DIV_COM_CF(,12/2016,,,,LOCAL)":12.438,"HCI^FF_DIV_COM_CF(,12/2017,,,,LOCAL)":13.906,"HCI^FF_DIV_COM_CF(,12/2018,,,,LOCAL)":11.318,"HCI^FF_DIV_COM_CF(,12/2019,,,,LOCAL)":13.012,"HCI^FF_DIV_COM_CF(,12/2020,,,,LOCAL)":12.694,"HCI^FF_DIV_COM_CF(,12/2021,,,,LOCAL)":14.065,"HCI^FF_DIV_COM_CF(,12/2022,,,,LOCAL)":15.233,"HCI^FF_DEBT_CF(,12/2012,,,,LOCAL)":0.0,"HCI^FF_DEBT_CF(,12/2013,,,,LOCAL)":138.48,"HCI^FF_DEBT_CF(,12/2014,,,,LOCAL)":0.0,"HCI^FF_DEBT_CF(,12/2015,,,,LOCAL)":0.0,"HCI^FF_DEBT_CF(,12/2016,,,,LOCAL)":7.297,"HCI^FF_DEBT_CF(,12/2017,,,,LOCAL)":97.66,"HCI^FF_DEBT_CF(,12/2018,,,,LOCAL)":4.768,"HCI^FF_DEBT_CF(,12/2019,,,,LOCAL)":-82.027,"HCI^FF_DEBT_CF(,12/2020,,,,LOCAL)":2.328,"HCI^FF_DEBT_CF(,12/2021,,,,LOCAL)":-9.72,"HCI^FF_DEBT_CF(,12/2022,,,,LOCAL)":150.45,"HCI^FF_STK_CHG_CF(,12/2012,,,,LOCAL)":32.234,"HCI^FF_STK_CHG_CF(,12/2013,,,,LOCAL)":-30.886,"HCI^FF_STK_CHG_CF(,12/2014,,,,LOCAL)":-38.906,"HCI^FF_STK_CHG_CF(,12/2015,,,,LOCAL)":-2.139,"HCI^FF_STK_CHG_CF(,12/2016,,,,LOCAL)":-20.34,"HCI^FF_STK_CHG_CF(,12/2017,,,,LOCAL)":-45.797,"HCI^FF_STK_CHG_CF(,12/2018,,,,LOCAL)":-21.166,"HCI^FF_STK_CHG_CF(,12/2019,,,,LOCAL)":-19.991,"HCI^FF_STK_CHG_CF(,12/2020,,,,LOCAL)":-6.645,"HCI^FF_STK_CHG_CF(,12/2021,,,,LOCAL)":-1.314,"HCI^FF_STK_CHG_CF(,12/2022,,,,LOCAL)":-88.312,"HCI^FF_FIN_ACTIV_OTH_CF(,12/2012,,,,LOCAL)":1.161,"HCI^FF_FIN_ACTIV_OTH_CF(,12/2013,,,,LOCAL)":1.06,"HCI^FF_FIN_ACTIV_OTH_CF(,12/2014,,,,LOCAL)":2.08,"HCI^FF_FIN_ACTIV_OTH_CF(,12/2015,,,,LOCAL)":2.295,"HCI^FF_FIN_ACTIV_OTH_CF(,12/2016,,,,LOCAL)":0.641,"HCI^FF_FIN_ACTIV_OTH_CF(,12/2017,,,,LOCAL)":0.0,"HCI^FF_FIN_ACTIV_OTH_CF(,12/2018,,,,LOCAL)":0.0,"HCI^FF_FIN_ACTIV_OTH_CF(,12/2019,,,,LOCAL)":0.0,"HCI^FF_FIN_ACTIV_OTH_CF(,12/2020,,,,LOCAL)":0.0,"HCI^FF_FIN_ACTIV_OTH_CF(,12/2021,,,,LOCAL)":-2.542,"HCI^FF_FIN_ACTIV_OTH_CF(,12/2022,,,,LOCAL)":-5.508,"HCI^FF_FIN_CF(,12/2012,,,,LOCAL)":24.799,"HCI^FF_FIN_CF(,12/2013,,,,LOCAL)":97.752,"HCI^FF_FIN_CF(,12/2014,,,,LOCAL)":-49.415,"HCI^FF_FIN_CF(,12/2015,,,,LOCAL)":-12.272,"HCI^FF_FIN_CF(,12/2016,,,,LOCAL)":-24.84,"HCI^FF_FIN_CF(,12/2017,,,,LOCAL)":37.957,"HCI^FF_FIN_CF(,12/2018,,,,LOCAL)":-27.716,"HCI^FF_FIN_CF(,12/2019,,,,LOCAL)":-115.03,"HCI^FF_FIN_CF(,12/2020,,,,LOCAL)":-17.011,"HCI^FF_FIN_CF(,12/2021,,,,LOCAL)":-29.688,"HCI^FF_FIN_CF(,12/2022,,,,LOCAL)":41.397,"HCI^FF_FOR_EXCH_CF(,12/2012,,,,LOCAL)":0.005,"HCI^FF_FOR_EXCH_CF(,12/2013,,,,LOCAL)":null,"HCI^FF_FOR_EXCH_CF(,12/2014,,,,LOCAL)":-0.029,"HCI^FF_FOR_EXCH_CF(,12/2015,,,,LOCAL)":-0.061,"HCI^FF_FOR_EXCH_CF(,12/2016,,,,LOCAL)":0.003,"HCI^FF_FOR_EXCH_CF(,12/2017,,,,LOCAL)":0.061,"HCI^FF_FOR_EXCH_CF(,12/2018,,,,LOCAL)":-0.164,"HCI^FF_FOR_EXCH_CF(,12/2019,,,,LOCAL)":-0.022,"HCI^FF_FOR_EXCH_CF(,12/2020,,,,LOCAL)":0.002,"HCI^FF_FOR_EXCH_CF(,12/2021,,,,LOCAL)":-0.054,"HCI^FF_FOR_EXCH_CF(,12/2022,,,,LOCAL)":-0.098,"HCI^FF_CHG_CASH_CF(,12/2012,,,,LOCAL)":129.859,"HCI^FF_CHG_CASH_CF(,12/2013,,,,LOCAL)":63.184,"HCI^FF_CHG_CASH_CF(,12/2014,,,,LOCAL)":21.318,"HCI^FF_CHG_CASH_CF(,12/2015,,,,LOCAL)":-46.678,"HCI^FF_CHG_CASH_CF(,12/2016,,,,LOCAL)":12.793,"HCI^FF_CHG_CASH_CF(,12/2017,,,,LOCAL)":-24.647,"HCI^FF_CHG_CASH_CF(,12/2018,,,,LOCAL)":-16.535,"HCI^FF_CHG_CASH_CF(,12/2019,,,,LOCAL)":-10.24,"HCI^FF_CHG_CASH_CF(,12/2020,,,,LOCAL)":203.823,"HCI^FF_CHG_CASH_CF(,12/2021,,,,LOCAL)":197.602,"HCI^FF_CHG_CASH_CF(,12/2022,,,,LOCAL)":-393.58,"HCI^FF_FREE_CF(,12/2012,,,,LOCAL)":96.509,"HCI^FF_FREE_CF(,12/2013,,,,LOCAL)":41.137,"HCI^FF_FREE_CF(,12/2014,,,,LOCAL)":76.606,"HCI^FF_FREE_CF(,12/2015,,,,LOCAL)":32.761,"HCI^FF_FREE_CF(,12/2016,,,,LOCAL)":75.419,"HCI^FF_FREE_CF(,12/2017,,,,LOCAL)":13.428,"HCI^FF_FREE_CF(,12/2018,,,,LOCAL)":16.91,"HCI^FF_FREE_CF(,12/2019,,,,LOCAL)":40.575,"HCI^FF_FREE_CF(,12/2020,,,,LOCAL)":60.572,"HCI^FF_FREE_CF(,12/2021,,,,LOCAL)":84.706,"HCI^FF_FREE_CF(,12/2022,,,,LOCAL)":-15.799,"HCI^FF_FREE_PS_CF(,12/2012,,,,LOCAL)":9.83481096504637,"HCI^FF_FREE_PS_CF(,12/2013,,,,LOCAL)":3.69870526883654,"HCI^FF_FREE_PS_CF(,12/2014,,,,LOCAL)":6.55088079356935,"HCI^FF_FREE_PS_CF(,12/2015,,,,LOCAL)":2.88516072214883,"HCI^FF_FREE_PS_CF(,12/2016,,,,LOCAL)":6.93635611146878,"HCI^FF_FREE_PS_CF(,12/2017,,,,LOCAL)":1.56905819116616,"HCI^FF_FREE_PS_CF(,12/2018,,,,LOCAL)":2.1418619379354,"HCI^FF_FREE_PS_CF(,12/2019,,,,LOCAL)":3.96317640164095,"HCI^FF_FREE_PS_CF(,12/2020,,,,LOCAL)":6.24840107282855,"HCI^FF_FREE_PS_CF(,12/2021,,,,LOCAL)":9.87249417249417,"HCI^FF_FREE_PS_CF(,12/2022,,,,LOCAL)":-1.79187932403312,"HCI^FF_FCF_YLD(,12/2012,,,,LOCAL)":47.3054880473611,"HCI^FF_FCF_YLD(,12/2013,,,,LOCAL)":6.91346779221783,"HCI^FF_FCF_YLD(,12/2014,,,,LOCAL)":15.1500480887358,"HCI^FF_FCF_YLD(,12/2015,,,,LOCAL)":8.27879690717025,"HCI^FF_FCF_YLD(,12/2016,,,,LOCAL)":17.5692910624842,"HCI^FF_FCF_YLD(,12/2017,,,,LOCAL)":5.2476862580808,"HCI^FF_FCF_YLD(,12/2018,,,,LOCAL)":4.21543384754065,"HCI^FF_FCF_YLD(,12/2019,,,,LOCAL)":8.68165695868773,"HCI^FF_FCF_YLD(,12/2020,,,,LOCAL)":11.9472295847582,"HCI^FF_FCF_YLD(,12/2021,,,,LOCAL)":11.8176851478264,"HCI^FF_FCF_YLD(,12/2022,,,,LOCAL)":-4.52609074016953}]]></FdsFormulaCache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8A3AAADFD5C9347888440B89F1271F9" ma:contentTypeVersion="13" ma:contentTypeDescription="Create a new document." ma:contentTypeScope="" ma:versionID="ccb1895561bb2b1f6b53f10aa818dcac">
  <xsd:schema xmlns:xsd="http://www.w3.org/2001/XMLSchema" xmlns:xs="http://www.w3.org/2001/XMLSchema" xmlns:p="http://schemas.microsoft.com/office/2006/metadata/properties" xmlns:ns2="c66a0dcc-4d83-49b8-8ce6-0efee2b78327" xmlns:ns3="6983a015-4ec2-4172-b1aa-c5af44214c8c" targetNamespace="http://schemas.microsoft.com/office/2006/metadata/properties" ma:root="true" ma:fieldsID="e3ffced5918151c73ff020ca6be0d033" ns2:_="" ns3:_="">
    <xsd:import namespace="c66a0dcc-4d83-49b8-8ce6-0efee2b78327"/>
    <xsd:import namespace="6983a015-4ec2-4172-b1aa-c5af44214c8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66a0dcc-4d83-49b8-8ce6-0efee2b7832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56963a87-7139-4f63-9b27-46f0e2e1870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bjectDetectorVersions" ma:index="2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983a015-4ec2-4172-b1aa-c5af44214c8c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6" nillable="true" ma:displayName="Taxonomy Catch All Column" ma:hidden="true" ma:list="{824ebf40-e1f2-49b9-8fa2-6e814ec7d11b}" ma:internalName="TaxCatchAll" ma:showField="CatchAllData" ma:web="6983a015-4ec2-4172-b1aa-c5af44214c8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c66a0dcc-4d83-49b8-8ce6-0efee2b78327">
      <Terms xmlns="http://schemas.microsoft.com/office/infopath/2007/PartnerControls"/>
    </lcf76f155ced4ddcb4097134ff3c332f>
    <TaxCatchAll xmlns="6983a015-4ec2-4172-b1aa-c5af44214c8c" xsi:nil="true"/>
  </documentManagement>
</p:properties>
</file>

<file path=customXml/itemProps1.xml><?xml version="1.0" encoding="utf-8"?>
<ds:datastoreItem xmlns:ds="http://schemas.openxmlformats.org/officeDocument/2006/customXml" ds:itemID="{BB34B857-4399-4817-AB8A-004620D5BFAF}">
  <ds:schemaRefs>
    <ds:schemaRef ds:uri="urn:fdsformulacache"/>
  </ds:schemaRefs>
</ds:datastoreItem>
</file>

<file path=customXml/itemProps2.xml><?xml version="1.0" encoding="utf-8"?>
<ds:datastoreItem xmlns:ds="http://schemas.openxmlformats.org/officeDocument/2006/customXml" ds:itemID="{7F656697-F960-4848-85B7-67FC72E7D6D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B29A5A3-53F1-4F50-B840-79658A2DD12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66a0dcc-4d83-49b8-8ce6-0efee2b78327"/>
    <ds:schemaRef ds:uri="6983a015-4ec2-4172-b1aa-c5af44214c8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4.xml><?xml version="1.0" encoding="utf-8"?>
<ds:datastoreItem xmlns:ds="http://schemas.openxmlformats.org/officeDocument/2006/customXml" ds:itemID="{B328A81E-593C-4353-89EF-4E0DD9E96787}">
  <ds:schemaRefs>
    <ds:schemaRef ds:uri="http://schemas.microsoft.com/office/infopath/2007/PartnerControls"/>
    <ds:schemaRef ds:uri="http://purl.org/dc/terms/"/>
    <ds:schemaRef ds:uri="http://schemas.microsoft.com/office/2006/documentManagement/types"/>
    <ds:schemaRef ds:uri="c66a0dcc-4d83-49b8-8ce6-0efee2b78327"/>
    <ds:schemaRef ds:uri="http://purl.org/dc/elements/1.1/"/>
    <ds:schemaRef ds:uri="http://schemas.openxmlformats.org/package/2006/metadata/core-properties"/>
    <ds:schemaRef ds:uri="http://www.w3.org/XML/1998/namespace"/>
    <ds:schemaRef ds:uri="6983a015-4ec2-4172-b1aa-c5af44214c8c"/>
    <ds:schemaRef ds:uri="http://schemas.microsoft.com/office/2006/metadata/properties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21</vt:i4>
      </vt:variant>
      <vt:variant>
        <vt:lpstr>Named Ranges</vt:lpstr>
      </vt:variant>
      <vt:variant>
        <vt:i4>6</vt:i4>
      </vt:variant>
    </vt:vector>
  </HeadingPairs>
  <TitlesOfParts>
    <vt:vector size="27" baseType="lpstr">
      <vt:lpstr>Important Information</vt:lpstr>
      <vt:lpstr>Model &gt;&gt;</vt:lpstr>
      <vt:lpstr>API - BASE</vt:lpstr>
      <vt:lpstr>API - BULL</vt:lpstr>
      <vt:lpstr>API - BEAR</vt:lpstr>
      <vt:lpstr>BS - BASE</vt:lpstr>
      <vt:lpstr>BS - BULL</vt:lpstr>
      <vt:lpstr>BS - BEAR</vt:lpstr>
      <vt:lpstr>PT Matrix</vt:lpstr>
      <vt:lpstr>Data &gt;&gt;</vt:lpstr>
      <vt:lpstr>PE Calculation</vt:lpstr>
      <vt:lpstr>Quaterly Breakout</vt:lpstr>
      <vt:lpstr>HCI BS Data</vt:lpstr>
      <vt:lpstr>Company Breakdown</vt:lpstr>
      <vt:lpstr>GAAP-IFRS</vt:lpstr>
      <vt:lpstr>Broker Actual</vt:lpstr>
      <vt:lpstr>Write-Up Info &gt;&gt;</vt:lpstr>
      <vt:lpstr>Data Box</vt:lpstr>
      <vt:lpstr>How Do You Differ</vt:lpstr>
      <vt:lpstr>Comp Table</vt:lpstr>
      <vt:lpstr>Financial Forecasts</vt:lpstr>
      <vt:lpstr>'API - BASE'!ALLFINSTAT_RWIdentifier</vt:lpstr>
      <vt:lpstr>'API - BEAR'!ALLFINSTAT_RWIdentifier</vt:lpstr>
      <vt:lpstr>'API - BULL'!ALLFINSTAT_RWIdentifier</vt:lpstr>
      <vt:lpstr>'Broker Actual'!ALLFINSTAT_RWIdentifier</vt:lpstr>
      <vt:lpstr>'GAAP-IFRS'!ALLFINSTAT_RWIdentifier</vt:lpstr>
      <vt:lpstr>'Quaterly Breakout'!ALLFINSTAT_RWIdentifier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James J. Valentine</dc:creator>
  <cp:keywords/>
  <dc:description/>
  <cp:lastModifiedBy>Ambrose, Charlie</cp:lastModifiedBy>
  <cp:revision/>
  <cp:lastPrinted>2023-10-07T21:00:56Z</cp:lastPrinted>
  <dcterms:created xsi:type="dcterms:W3CDTF">2019-04-26T00:38:25Z</dcterms:created>
  <dcterms:modified xsi:type="dcterms:W3CDTF">2023-10-07T21:01:10Z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=fdsSearchOrder">
    <vt:i4>0</vt:i4>
  </property>
  <property fmtid="{D5CDD505-2E9C-101B-9397-08002B2CF9AE}" pid="3" name="PowerlinkCOMAddIn.COMAddIn.WebAddinBridge.Options">
    <vt:lpwstr>{"port":50152,"version":"1.21.409"}</vt:lpwstr>
  </property>
  <property fmtid="{D5CDD505-2E9C-101B-9397-08002B2CF9AE}" pid="4" name="ContentTypeId">
    <vt:lpwstr>0x01010068A3AAADFD5C9347888440B89F1271F9</vt:lpwstr>
  </property>
  <property fmtid="{D5CDD505-2E9C-101B-9397-08002B2CF9AE}" pid="5" name="MediaServiceImageTags">
    <vt:lpwstr/>
  </property>
</Properties>
</file>